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5.xml" ContentType="application/vnd.openxmlformats-officedocument.drawing+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bayareametro-my.sharepoint.com/personal/cmcdevitt_bayareametro_gov/Documents/Desktop/"/>
    </mc:Choice>
  </mc:AlternateContent>
  <xr:revisionPtr revIDLastSave="0" documentId="8_{B1AE3069-5938-4361-BC9C-37B9B64F4CFA}" xr6:coauthVersionLast="47" xr6:coauthVersionMax="47" xr10:uidLastSave="{00000000-0000-0000-0000-000000000000}"/>
  <workbookProtection workbookAlgorithmName="SHA-512" workbookHashValue="U7f6aRlsF/QSHd1y7PTIRAnFQYpoZSiZBDgFHVkaeGc57/ZHG74kKY5W3gaZaqZtCq9p5ygHcqGwWZOP98W+uw==" workbookSaltValue="xQwdM6vSvA00HDA1lFX9cQ==" workbookSpinCount="100000" lockStructure="1"/>
  <bookViews>
    <workbookView xWindow="1860" yWindow="1860" windowWidth="16920" windowHeight="10450" tabRatio="896" firstSheet="4" activeTab="4" xr2:uid="{436FD566-C7B7-475C-9B62-CD328695AE15}"/>
  </bookViews>
  <sheets>
    <sheet name="Introduction" sheetId="48" r:id="rId1"/>
    <sheet name="Regional Overview" sheetId="14" r:id="rId2"/>
    <sheet name="County Overview" sheetId="46" r:id="rId3"/>
    <sheet name="City Overview" sheetId="50" r:id="rId4"/>
    <sheet name="2025 Affordability by County" sheetId="16" r:id="rId5"/>
    <sheet name="Demographic Data" sheetId="15" r:id="rId6"/>
    <sheet name="Methodology" sheetId="18" r:id="rId7"/>
    <sheet name="2025 Affordability Calcluations" sheetId="20" state="hidden" r:id="rId8"/>
    <sheet name="ADU Homeowner Survey 2025" sheetId="1" state="hidden" r:id="rId9"/>
    <sheet name="Responses by Jurisdiction" sheetId="51" state="hidden" r:id="rId10"/>
  </sheets>
  <definedNames>
    <definedName name="_56F9DC9755BA473782653E2940F9FormId">"oMSEsBm7QkG3A4LqZaXusuUwXSbQIIpDsJiKSo0VrFZURUpZVDRSWFM1QjFIQ01JWTMxQlhDTFVaNCQlQCN0PWcu"</definedName>
    <definedName name="_56F9DC9755BA473782653E2940F9ResponseSheet">"Form1"</definedName>
    <definedName name="_56F9DC9755BA473782653E2940F9SourceDocId">"{15b58cf6-307f-4ba3-a1b0-5ab4f06288e8}"</definedName>
    <definedName name="ADU_Survey">#REF!</definedName>
    <definedName name="ADU_survey2">#REF!</definedName>
    <definedName name="Afff">#REF!</definedName>
    <definedName name="afffff">#REF!</definedName>
    <definedName name="Affordability">#REF!</definedName>
    <definedName name="Affordability_2">#REF!</definedName>
    <definedName name="Survey_v2">#REF!</definedName>
    <definedName name="Surveyv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0" i="16" l="1"/>
  <c r="B14" i="46"/>
  <c r="B11" i="46"/>
  <c r="B9" i="14"/>
  <c r="B10" i="14"/>
  <c r="AF3" i="1"/>
  <c r="AF4" i="1"/>
  <c r="AF5" i="1"/>
  <c r="AF6" i="1"/>
  <c r="AF7" i="1"/>
  <c r="AF8" i="1"/>
  <c r="AF9"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1" i="1"/>
  <c r="AF112" i="1"/>
  <c r="AF113" i="1"/>
  <c r="AF114" i="1"/>
  <c r="AF115" i="1"/>
  <c r="AF116" i="1"/>
  <c r="AF117" i="1"/>
  <c r="AF118" i="1"/>
  <c r="AF119" i="1"/>
  <c r="AF120" i="1"/>
  <c r="AF121" i="1"/>
  <c r="AF122" i="1"/>
  <c r="AF123" i="1"/>
  <c r="AF124" i="1"/>
  <c r="AF125" i="1"/>
  <c r="AF126" i="1"/>
  <c r="AF127" i="1"/>
  <c r="AF128" i="1"/>
  <c r="AF129" i="1"/>
  <c r="AF130" i="1"/>
  <c r="AF131" i="1"/>
  <c r="AF132" i="1"/>
  <c r="AF133" i="1"/>
  <c r="AF134" i="1"/>
  <c r="AF135" i="1"/>
  <c r="AF136" i="1"/>
  <c r="AF137" i="1"/>
  <c r="AF138" i="1"/>
  <c r="AF139" i="1"/>
  <c r="AF140" i="1"/>
  <c r="AF141" i="1"/>
  <c r="AF142" i="1"/>
  <c r="AF143" i="1"/>
  <c r="AF144" i="1"/>
  <c r="AF145" i="1"/>
  <c r="AF146" i="1"/>
  <c r="AF147" i="1"/>
  <c r="AF148" i="1"/>
  <c r="AF149" i="1"/>
  <c r="AF150" i="1"/>
  <c r="AF151" i="1"/>
  <c r="AF152" i="1"/>
  <c r="AF153" i="1"/>
  <c r="AF154" i="1"/>
  <c r="AF155" i="1"/>
  <c r="AF156" i="1"/>
  <c r="AF157" i="1"/>
  <c r="AF158" i="1"/>
  <c r="AF159" i="1"/>
  <c r="AF160" i="1"/>
  <c r="AF161" i="1"/>
  <c r="AF162" i="1"/>
  <c r="AF163" i="1"/>
  <c r="AF164" i="1"/>
  <c r="AF165" i="1"/>
  <c r="AF166" i="1"/>
  <c r="AF167" i="1"/>
  <c r="AF168" i="1"/>
  <c r="AF169" i="1"/>
  <c r="AF170" i="1"/>
  <c r="AF171" i="1"/>
  <c r="AF172" i="1"/>
  <c r="AF173" i="1"/>
  <c r="AF174" i="1"/>
  <c r="AF175" i="1"/>
  <c r="AF176" i="1"/>
  <c r="AF177" i="1"/>
  <c r="AF178" i="1"/>
  <c r="AF179" i="1"/>
  <c r="AF180" i="1"/>
  <c r="AF181" i="1"/>
  <c r="AF182" i="1"/>
  <c r="AF183" i="1"/>
  <c r="AF184" i="1"/>
  <c r="AF185" i="1"/>
  <c r="AF186" i="1"/>
  <c r="AF187" i="1"/>
  <c r="AF188" i="1"/>
  <c r="AF189" i="1"/>
  <c r="AF190" i="1"/>
  <c r="AF191" i="1"/>
  <c r="AF192" i="1"/>
  <c r="AF193" i="1"/>
  <c r="AF194" i="1"/>
  <c r="AF195" i="1"/>
  <c r="AF196" i="1"/>
  <c r="AF197" i="1"/>
  <c r="AF198" i="1"/>
  <c r="AF199" i="1"/>
  <c r="AF200" i="1"/>
  <c r="AF201" i="1"/>
  <c r="AF202" i="1"/>
  <c r="AF203" i="1"/>
  <c r="AF204" i="1"/>
  <c r="AF205" i="1"/>
  <c r="AF206" i="1"/>
  <c r="AF207" i="1"/>
  <c r="AF208" i="1"/>
  <c r="AF209" i="1"/>
  <c r="AF210" i="1"/>
  <c r="AF211" i="1"/>
  <c r="AF212" i="1"/>
  <c r="AF213" i="1"/>
  <c r="AF214" i="1"/>
  <c r="AF215" i="1"/>
  <c r="AF216" i="1"/>
  <c r="AF217" i="1"/>
  <c r="AF218" i="1"/>
  <c r="AF219" i="1"/>
  <c r="AF220" i="1"/>
  <c r="AF221" i="1"/>
  <c r="AF222" i="1"/>
  <c r="AF223" i="1"/>
  <c r="AF224" i="1"/>
  <c r="AF225" i="1"/>
  <c r="AF226" i="1"/>
  <c r="AF227" i="1"/>
  <c r="AF228" i="1"/>
  <c r="AF229" i="1"/>
  <c r="AF230" i="1"/>
  <c r="AF231" i="1"/>
  <c r="AF232" i="1"/>
  <c r="AF233" i="1"/>
  <c r="AF234" i="1"/>
  <c r="AF235" i="1"/>
  <c r="AF236" i="1"/>
  <c r="AF237" i="1"/>
  <c r="AF238" i="1"/>
  <c r="AF239" i="1"/>
  <c r="AF240" i="1"/>
  <c r="AF241" i="1"/>
  <c r="AF242" i="1"/>
  <c r="AF243" i="1"/>
  <c r="AF244" i="1"/>
  <c r="AF245" i="1"/>
  <c r="AF246" i="1"/>
  <c r="AF247" i="1"/>
  <c r="AF248" i="1"/>
  <c r="AF249" i="1"/>
  <c r="AF250" i="1"/>
  <c r="AF251" i="1"/>
  <c r="AF252" i="1"/>
  <c r="AF253" i="1"/>
  <c r="AF254" i="1"/>
  <c r="AF255" i="1"/>
  <c r="AF256" i="1"/>
  <c r="AF257" i="1"/>
  <c r="AF258" i="1"/>
  <c r="AF259" i="1"/>
  <c r="AF260" i="1"/>
  <c r="AF261" i="1"/>
  <c r="AF262" i="1"/>
  <c r="AF263" i="1"/>
  <c r="AF264" i="1"/>
  <c r="AF265" i="1"/>
  <c r="AF266" i="1"/>
  <c r="AF267" i="1"/>
  <c r="AF268" i="1"/>
  <c r="AF269" i="1"/>
  <c r="AF270" i="1"/>
  <c r="AF271" i="1"/>
  <c r="AF272" i="1"/>
  <c r="AF273" i="1"/>
  <c r="AF274" i="1"/>
  <c r="AF275" i="1"/>
  <c r="AF276" i="1"/>
  <c r="AF277" i="1"/>
  <c r="AF278" i="1"/>
  <c r="AF279" i="1"/>
  <c r="AF280" i="1"/>
  <c r="AF281" i="1"/>
  <c r="AF282" i="1"/>
  <c r="AF283" i="1"/>
  <c r="AF284" i="1"/>
  <c r="AF285" i="1"/>
  <c r="AF286" i="1"/>
  <c r="AF287" i="1"/>
  <c r="AF288" i="1"/>
  <c r="AF289" i="1"/>
  <c r="AF290" i="1"/>
  <c r="AF291" i="1"/>
  <c r="AF292" i="1"/>
  <c r="AF293" i="1"/>
  <c r="AF294" i="1"/>
  <c r="AF295" i="1"/>
  <c r="AF296" i="1"/>
  <c r="AF297" i="1"/>
  <c r="AF298" i="1"/>
  <c r="AF299" i="1"/>
  <c r="AF300" i="1"/>
  <c r="AF301" i="1"/>
  <c r="AF302" i="1"/>
  <c r="AF303" i="1"/>
  <c r="AF304" i="1"/>
  <c r="AF305" i="1"/>
  <c r="AF306" i="1"/>
  <c r="AF307" i="1"/>
  <c r="AF308" i="1"/>
  <c r="AF309" i="1"/>
  <c r="AF310" i="1"/>
  <c r="AF311" i="1"/>
  <c r="AF312" i="1"/>
  <c r="AF313" i="1"/>
  <c r="AF314" i="1"/>
  <c r="AF315" i="1"/>
  <c r="AF316" i="1"/>
  <c r="AF317" i="1"/>
  <c r="AF318" i="1"/>
  <c r="AF319" i="1"/>
  <c r="AF320" i="1"/>
  <c r="AF321" i="1"/>
  <c r="AF322" i="1"/>
  <c r="AF323" i="1"/>
  <c r="AF324" i="1"/>
  <c r="AF325" i="1"/>
  <c r="AF326" i="1"/>
  <c r="AF327" i="1"/>
  <c r="AF328" i="1"/>
  <c r="AF329" i="1"/>
  <c r="AF330" i="1"/>
  <c r="AF331" i="1"/>
  <c r="AF332" i="1"/>
  <c r="AF333" i="1"/>
  <c r="AF334" i="1"/>
  <c r="AF335" i="1"/>
  <c r="AF336" i="1"/>
  <c r="AF337" i="1"/>
  <c r="AF338" i="1"/>
  <c r="AF339" i="1"/>
  <c r="AF340" i="1"/>
  <c r="AF341" i="1"/>
  <c r="AF342" i="1"/>
  <c r="AF343" i="1"/>
  <c r="AF344" i="1"/>
  <c r="AF345" i="1"/>
  <c r="AF346" i="1"/>
  <c r="AF347" i="1"/>
  <c r="AF348" i="1"/>
  <c r="AF349" i="1"/>
  <c r="AF350" i="1"/>
  <c r="AF351" i="1"/>
  <c r="AF352" i="1"/>
  <c r="AF353" i="1"/>
  <c r="AF354" i="1"/>
  <c r="AF355" i="1"/>
  <c r="AF356" i="1"/>
  <c r="AF357" i="1"/>
  <c r="AF358" i="1"/>
  <c r="AF359" i="1"/>
  <c r="AF360" i="1"/>
  <c r="AF361" i="1"/>
  <c r="AF362" i="1"/>
  <c r="AF363" i="1"/>
  <c r="AF364" i="1"/>
  <c r="AF365" i="1"/>
  <c r="AF366" i="1"/>
  <c r="AF367" i="1"/>
  <c r="AF368" i="1"/>
  <c r="AF369" i="1"/>
  <c r="AF370" i="1"/>
  <c r="AF371" i="1"/>
  <c r="AF372" i="1"/>
  <c r="AF373" i="1"/>
  <c r="AF374" i="1"/>
  <c r="AF375" i="1"/>
  <c r="AF376" i="1"/>
  <c r="AF377" i="1"/>
  <c r="AF378" i="1"/>
  <c r="AF379" i="1"/>
  <c r="AF380" i="1"/>
  <c r="AF381" i="1"/>
  <c r="AF382" i="1"/>
  <c r="AF383" i="1"/>
  <c r="AF384" i="1"/>
  <c r="AF385" i="1"/>
  <c r="AF386" i="1"/>
  <c r="AF387" i="1"/>
  <c r="AF388" i="1"/>
  <c r="AF389" i="1"/>
  <c r="AF390" i="1"/>
  <c r="AF391" i="1"/>
  <c r="AF392" i="1"/>
  <c r="AF393" i="1"/>
  <c r="AF394" i="1"/>
  <c r="AF395" i="1"/>
  <c r="AF396" i="1"/>
  <c r="AF397" i="1"/>
  <c r="AF398" i="1"/>
  <c r="AF399" i="1"/>
  <c r="AF400" i="1"/>
  <c r="AF401" i="1"/>
  <c r="AF402" i="1"/>
  <c r="AF403" i="1"/>
  <c r="AF404" i="1"/>
  <c r="AF405" i="1"/>
  <c r="AF406" i="1"/>
  <c r="AF407" i="1"/>
  <c r="AF408" i="1"/>
  <c r="AF409" i="1"/>
  <c r="AF410" i="1"/>
  <c r="AF411" i="1"/>
  <c r="AF412" i="1"/>
  <c r="AF413" i="1"/>
  <c r="AF414" i="1"/>
  <c r="AF415" i="1"/>
  <c r="AF416" i="1"/>
  <c r="AF417" i="1"/>
  <c r="AF418" i="1"/>
  <c r="AF419" i="1"/>
  <c r="AF420" i="1"/>
  <c r="AF421" i="1"/>
  <c r="AF422" i="1"/>
  <c r="AF423" i="1"/>
  <c r="AF424" i="1"/>
  <c r="AF425" i="1"/>
  <c r="AF426" i="1"/>
  <c r="AF427" i="1"/>
  <c r="AF428" i="1"/>
  <c r="AF429" i="1"/>
  <c r="AF430" i="1"/>
  <c r="AF431" i="1"/>
  <c r="AF432" i="1"/>
  <c r="AF433" i="1"/>
  <c r="AF434" i="1"/>
  <c r="AF435" i="1"/>
  <c r="AF436" i="1"/>
  <c r="AF437" i="1"/>
  <c r="AF438" i="1"/>
  <c r="AF439" i="1"/>
  <c r="AF440" i="1"/>
  <c r="AF441" i="1"/>
  <c r="AF442" i="1"/>
  <c r="AF443" i="1"/>
  <c r="AF444" i="1"/>
  <c r="AF445" i="1"/>
  <c r="AF446" i="1"/>
  <c r="AF447" i="1"/>
  <c r="AF448" i="1"/>
  <c r="AF449" i="1"/>
  <c r="AF450" i="1"/>
  <c r="AF451" i="1"/>
  <c r="AF452" i="1"/>
  <c r="AF453" i="1"/>
  <c r="AF454" i="1"/>
  <c r="AF455" i="1"/>
  <c r="AF456" i="1"/>
  <c r="AF457" i="1"/>
  <c r="AF458" i="1"/>
  <c r="AF459" i="1"/>
  <c r="AF460" i="1"/>
  <c r="AF461" i="1"/>
  <c r="AF462" i="1"/>
  <c r="AF463" i="1"/>
  <c r="AF464" i="1"/>
  <c r="AF465" i="1"/>
  <c r="AF466" i="1"/>
  <c r="AF467" i="1"/>
  <c r="AF468" i="1"/>
  <c r="AF469" i="1"/>
  <c r="AF470" i="1"/>
  <c r="AF471" i="1"/>
  <c r="AF472" i="1"/>
  <c r="AF473" i="1"/>
  <c r="AF474" i="1"/>
  <c r="AF475" i="1"/>
  <c r="AF476" i="1"/>
  <c r="AF477" i="1"/>
  <c r="AF478" i="1"/>
  <c r="AF479" i="1"/>
  <c r="AF480" i="1"/>
  <c r="AF481" i="1"/>
  <c r="AF482" i="1"/>
  <c r="AF483" i="1"/>
  <c r="AF484" i="1"/>
  <c r="AF485" i="1"/>
  <c r="AF486" i="1"/>
  <c r="AF487" i="1"/>
  <c r="AF488" i="1"/>
  <c r="AF489" i="1"/>
  <c r="AF490" i="1"/>
  <c r="AF491" i="1"/>
  <c r="AF492" i="1"/>
  <c r="AF493" i="1"/>
  <c r="AF494" i="1"/>
  <c r="AF495" i="1"/>
  <c r="AF496" i="1"/>
  <c r="AF497" i="1"/>
  <c r="AF498" i="1"/>
  <c r="AF499" i="1"/>
  <c r="AF500" i="1"/>
  <c r="AF501" i="1"/>
  <c r="AF502" i="1"/>
  <c r="AF503" i="1"/>
  <c r="AF504" i="1"/>
  <c r="AF505" i="1"/>
  <c r="AF506" i="1"/>
  <c r="AF507" i="1"/>
  <c r="AF508" i="1"/>
  <c r="AF509" i="1"/>
  <c r="AF510" i="1"/>
  <c r="AF511" i="1"/>
  <c r="AF512" i="1"/>
  <c r="AF513" i="1"/>
  <c r="AF514" i="1"/>
  <c r="AF515" i="1"/>
  <c r="AF516" i="1"/>
  <c r="AF517" i="1"/>
  <c r="AF518" i="1"/>
  <c r="AF519" i="1"/>
  <c r="AF520" i="1"/>
  <c r="AF521" i="1"/>
  <c r="AF522" i="1"/>
  <c r="AF523" i="1"/>
  <c r="AF524" i="1"/>
  <c r="AF525" i="1"/>
  <c r="AF526" i="1"/>
  <c r="AF527" i="1"/>
  <c r="AF528" i="1"/>
  <c r="AF529" i="1"/>
  <c r="AF530" i="1"/>
  <c r="AF531" i="1"/>
  <c r="AF532" i="1"/>
  <c r="AF533" i="1"/>
  <c r="AF534" i="1"/>
  <c r="AF535" i="1"/>
  <c r="AF536" i="1"/>
  <c r="AF537" i="1"/>
  <c r="AF538" i="1"/>
  <c r="AF539" i="1"/>
  <c r="AF540" i="1"/>
  <c r="AF541" i="1"/>
  <c r="AF542" i="1"/>
  <c r="AF543" i="1"/>
  <c r="AF544" i="1"/>
  <c r="AF545" i="1"/>
  <c r="AF546" i="1"/>
  <c r="AF547" i="1"/>
  <c r="AF548" i="1"/>
  <c r="AF549" i="1"/>
  <c r="AF550" i="1"/>
  <c r="AF551" i="1"/>
  <c r="AF552" i="1"/>
  <c r="AF553" i="1"/>
  <c r="AF554" i="1"/>
  <c r="AF555" i="1"/>
  <c r="AF556" i="1"/>
  <c r="AF557" i="1"/>
  <c r="AF558" i="1"/>
  <c r="AF559" i="1"/>
  <c r="AF560" i="1"/>
  <c r="AF561" i="1"/>
  <c r="AF562" i="1"/>
  <c r="AF563" i="1"/>
  <c r="AF564" i="1"/>
  <c r="AF565" i="1"/>
  <c r="AF566" i="1"/>
  <c r="AF567" i="1"/>
  <c r="AF568" i="1"/>
  <c r="AF569" i="1"/>
  <c r="AF570" i="1"/>
  <c r="AF571" i="1"/>
  <c r="AF572" i="1"/>
  <c r="AF573" i="1"/>
  <c r="AF574" i="1"/>
  <c r="AF575" i="1"/>
  <c r="AF576" i="1"/>
  <c r="AF577" i="1"/>
  <c r="AF578" i="1"/>
  <c r="AF579" i="1"/>
  <c r="AF580" i="1"/>
  <c r="AF581" i="1"/>
  <c r="AF582" i="1"/>
  <c r="AF583" i="1"/>
  <c r="AF584" i="1"/>
  <c r="AF585" i="1"/>
  <c r="AF586" i="1"/>
  <c r="AF587" i="1"/>
  <c r="AF588" i="1"/>
  <c r="AF589" i="1"/>
  <c r="AF590" i="1"/>
  <c r="AF591" i="1"/>
  <c r="AF592" i="1"/>
  <c r="AF593" i="1"/>
  <c r="AF594" i="1"/>
  <c r="AF595" i="1"/>
  <c r="AF596" i="1"/>
  <c r="AF597" i="1"/>
  <c r="AF598" i="1"/>
  <c r="AF599" i="1"/>
  <c r="AF600" i="1"/>
  <c r="AF601" i="1"/>
  <c r="AF602" i="1"/>
  <c r="AF603" i="1"/>
  <c r="AF604" i="1"/>
  <c r="AF605" i="1"/>
  <c r="AF606" i="1"/>
  <c r="AF2" i="1"/>
  <c r="AD2" i="1"/>
  <c r="AE2" i="1"/>
  <c r="AE3" i="1"/>
  <c r="AE4" i="1"/>
  <c r="AE5" i="1"/>
  <c r="AE6" i="1"/>
  <c r="AE7"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AE143" i="1"/>
  <c r="AE144" i="1"/>
  <c r="AE145" i="1"/>
  <c r="AE146" i="1"/>
  <c r="AE147" i="1"/>
  <c r="AE148" i="1"/>
  <c r="AE149" i="1"/>
  <c r="AE150" i="1"/>
  <c r="AE151" i="1"/>
  <c r="AE152" i="1"/>
  <c r="AE153" i="1"/>
  <c r="AE154" i="1"/>
  <c r="AE155" i="1"/>
  <c r="AE156" i="1"/>
  <c r="AE157" i="1"/>
  <c r="AE158" i="1"/>
  <c r="AE159" i="1"/>
  <c r="AE160" i="1"/>
  <c r="AE161" i="1"/>
  <c r="AE162" i="1"/>
  <c r="AE163" i="1"/>
  <c r="AE164" i="1"/>
  <c r="AE165" i="1"/>
  <c r="AE166" i="1"/>
  <c r="AE167" i="1"/>
  <c r="AE168" i="1"/>
  <c r="AE169" i="1"/>
  <c r="AE170" i="1"/>
  <c r="AE171" i="1"/>
  <c r="AE172" i="1"/>
  <c r="AE173" i="1"/>
  <c r="AE174" i="1"/>
  <c r="AE175" i="1"/>
  <c r="AE176" i="1"/>
  <c r="AE177" i="1"/>
  <c r="AE178" i="1"/>
  <c r="AE179" i="1"/>
  <c r="AE180" i="1"/>
  <c r="AE181" i="1"/>
  <c r="AE182" i="1"/>
  <c r="AE183" i="1"/>
  <c r="AE184" i="1"/>
  <c r="AE185" i="1"/>
  <c r="AE186" i="1"/>
  <c r="AE187" i="1"/>
  <c r="AE188" i="1"/>
  <c r="AE189" i="1"/>
  <c r="AE190" i="1"/>
  <c r="AE191" i="1"/>
  <c r="AE192" i="1"/>
  <c r="AE193" i="1"/>
  <c r="AE194" i="1"/>
  <c r="AE195" i="1"/>
  <c r="AE196" i="1"/>
  <c r="AE197" i="1"/>
  <c r="AE198" i="1"/>
  <c r="AE199" i="1"/>
  <c r="AE200" i="1"/>
  <c r="AE201" i="1"/>
  <c r="AE202" i="1"/>
  <c r="AE203" i="1"/>
  <c r="AE204" i="1"/>
  <c r="AE205" i="1"/>
  <c r="AE206" i="1"/>
  <c r="AE207" i="1"/>
  <c r="AE208" i="1"/>
  <c r="AE209" i="1"/>
  <c r="AE210" i="1"/>
  <c r="AE211" i="1"/>
  <c r="AE212" i="1"/>
  <c r="AE213" i="1"/>
  <c r="AE214" i="1"/>
  <c r="AE215" i="1"/>
  <c r="AE216" i="1"/>
  <c r="AE217" i="1"/>
  <c r="AE218" i="1"/>
  <c r="AE219" i="1"/>
  <c r="AE220" i="1"/>
  <c r="AE221" i="1"/>
  <c r="AE222" i="1"/>
  <c r="AE223" i="1"/>
  <c r="AE224" i="1"/>
  <c r="AE225" i="1"/>
  <c r="AE226" i="1"/>
  <c r="AE227" i="1"/>
  <c r="AE228" i="1"/>
  <c r="AE229" i="1"/>
  <c r="AE230" i="1"/>
  <c r="AE231" i="1"/>
  <c r="AE232" i="1"/>
  <c r="AE233" i="1"/>
  <c r="AE234" i="1"/>
  <c r="AE235" i="1"/>
  <c r="AE236" i="1"/>
  <c r="AE237" i="1"/>
  <c r="AE238" i="1"/>
  <c r="AE239" i="1"/>
  <c r="AE240" i="1"/>
  <c r="AE241" i="1"/>
  <c r="AE242" i="1"/>
  <c r="AE243" i="1"/>
  <c r="AE244" i="1"/>
  <c r="AE245" i="1"/>
  <c r="AE246" i="1"/>
  <c r="AE247" i="1"/>
  <c r="AE248" i="1"/>
  <c r="AE249" i="1"/>
  <c r="AE250" i="1"/>
  <c r="AE251" i="1"/>
  <c r="AE252" i="1"/>
  <c r="AE253" i="1"/>
  <c r="AE254" i="1"/>
  <c r="AE255" i="1"/>
  <c r="AE256" i="1"/>
  <c r="AE257" i="1"/>
  <c r="AE258" i="1"/>
  <c r="AE259" i="1"/>
  <c r="AE260" i="1"/>
  <c r="AE261" i="1"/>
  <c r="AE262" i="1"/>
  <c r="AE263" i="1"/>
  <c r="AE264" i="1"/>
  <c r="AE265" i="1"/>
  <c r="AE266" i="1"/>
  <c r="AE267" i="1"/>
  <c r="AE268" i="1"/>
  <c r="AE269" i="1"/>
  <c r="AE270" i="1"/>
  <c r="AE271" i="1"/>
  <c r="AE272" i="1"/>
  <c r="AE273" i="1"/>
  <c r="AE274" i="1"/>
  <c r="AE275" i="1"/>
  <c r="AE276" i="1"/>
  <c r="AE277" i="1"/>
  <c r="AE278" i="1"/>
  <c r="AE279" i="1"/>
  <c r="AE280" i="1"/>
  <c r="AE281" i="1"/>
  <c r="AE282" i="1"/>
  <c r="AE283" i="1"/>
  <c r="AE284" i="1"/>
  <c r="AE285" i="1"/>
  <c r="AE286" i="1"/>
  <c r="AE287" i="1"/>
  <c r="AE288" i="1"/>
  <c r="AE289" i="1"/>
  <c r="AE290" i="1"/>
  <c r="AE291" i="1"/>
  <c r="AE292" i="1"/>
  <c r="AE293" i="1"/>
  <c r="AE294" i="1"/>
  <c r="AE295" i="1"/>
  <c r="AE296" i="1"/>
  <c r="AE297" i="1"/>
  <c r="AE298" i="1"/>
  <c r="AE299" i="1"/>
  <c r="AE300" i="1"/>
  <c r="AE301" i="1"/>
  <c r="AE302" i="1"/>
  <c r="AE303" i="1"/>
  <c r="AE304" i="1"/>
  <c r="AE305" i="1"/>
  <c r="AE306" i="1"/>
  <c r="AE307" i="1"/>
  <c r="AE308" i="1"/>
  <c r="AE309" i="1"/>
  <c r="AE310" i="1"/>
  <c r="AE311" i="1"/>
  <c r="AE312" i="1"/>
  <c r="AE313" i="1"/>
  <c r="AE314" i="1"/>
  <c r="AE315" i="1"/>
  <c r="AE316" i="1"/>
  <c r="AE317" i="1"/>
  <c r="AE318" i="1"/>
  <c r="AE319" i="1"/>
  <c r="AE320" i="1"/>
  <c r="AE321" i="1"/>
  <c r="AE322" i="1"/>
  <c r="AE323" i="1"/>
  <c r="AE324" i="1"/>
  <c r="AE325" i="1"/>
  <c r="AE326" i="1"/>
  <c r="AE327" i="1"/>
  <c r="AE328" i="1"/>
  <c r="AE329" i="1"/>
  <c r="AE330" i="1"/>
  <c r="AE331" i="1"/>
  <c r="AE332" i="1"/>
  <c r="AE333" i="1"/>
  <c r="AE334" i="1"/>
  <c r="AE335" i="1"/>
  <c r="AE336" i="1"/>
  <c r="AE337" i="1"/>
  <c r="AE338" i="1"/>
  <c r="AE339" i="1"/>
  <c r="AE340" i="1"/>
  <c r="AE341" i="1"/>
  <c r="AE342" i="1"/>
  <c r="AE343" i="1"/>
  <c r="AE344" i="1"/>
  <c r="AE345" i="1"/>
  <c r="AE346" i="1"/>
  <c r="AE347" i="1"/>
  <c r="AE348" i="1"/>
  <c r="AE349" i="1"/>
  <c r="AE350" i="1"/>
  <c r="AE351" i="1"/>
  <c r="AE352" i="1"/>
  <c r="AE353" i="1"/>
  <c r="AE354" i="1"/>
  <c r="AE355" i="1"/>
  <c r="AE356" i="1"/>
  <c r="AE357" i="1"/>
  <c r="AE358" i="1"/>
  <c r="AE359" i="1"/>
  <c r="AE360" i="1"/>
  <c r="AE361" i="1"/>
  <c r="AE362" i="1"/>
  <c r="AE363" i="1"/>
  <c r="AE364" i="1"/>
  <c r="AE365" i="1"/>
  <c r="AE366" i="1"/>
  <c r="AE367" i="1"/>
  <c r="AE368" i="1"/>
  <c r="AE369" i="1"/>
  <c r="AE370" i="1"/>
  <c r="AE371" i="1"/>
  <c r="AE372" i="1"/>
  <c r="AE373" i="1"/>
  <c r="AE374" i="1"/>
  <c r="AE375" i="1"/>
  <c r="AE376" i="1"/>
  <c r="AE377" i="1"/>
  <c r="AE378" i="1"/>
  <c r="AE379" i="1"/>
  <c r="AE380" i="1"/>
  <c r="AE381" i="1"/>
  <c r="AE382" i="1"/>
  <c r="AE383" i="1"/>
  <c r="AE384" i="1"/>
  <c r="AE385" i="1"/>
  <c r="AE386" i="1"/>
  <c r="AE387" i="1"/>
  <c r="AE388" i="1"/>
  <c r="AE389" i="1"/>
  <c r="AE390" i="1"/>
  <c r="AE391" i="1"/>
  <c r="AE392" i="1"/>
  <c r="AE393" i="1"/>
  <c r="AE394" i="1"/>
  <c r="AE395" i="1"/>
  <c r="AE396" i="1"/>
  <c r="AE397" i="1"/>
  <c r="AE398" i="1"/>
  <c r="AE399" i="1"/>
  <c r="AE400" i="1"/>
  <c r="AE401" i="1"/>
  <c r="AE402" i="1"/>
  <c r="AE403" i="1"/>
  <c r="AE404" i="1"/>
  <c r="AE405" i="1"/>
  <c r="AE406" i="1"/>
  <c r="AE407" i="1"/>
  <c r="AE408" i="1"/>
  <c r="AE409" i="1"/>
  <c r="AE410" i="1"/>
  <c r="AE411" i="1"/>
  <c r="AE412" i="1"/>
  <c r="AE413" i="1"/>
  <c r="AE414" i="1"/>
  <c r="AE415" i="1"/>
  <c r="AE416" i="1"/>
  <c r="AE417" i="1"/>
  <c r="AE418" i="1"/>
  <c r="AE419" i="1"/>
  <c r="AE420" i="1"/>
  <c r="AE421" i="1"/>
  <c r="AE422" i="1"/>
  <c r="AE423" i="1"/>
  <c r="AE424" i="1"/>
  <c r="AE425" i="1"/>
  <c r="AE426" i="1"/>
  <c r="AE427" i="1"/>
  <c r="AE428" i="1"/>
  <c r="AE429" i="1"/>
  <c r="AE430" i="1"/>
  <c r="AE431" i="1"/>
  <c r="AE432" i="1"/>
  <c r="AE433" i="1"/>
  <c r="AE434" i="1"/>
  <c r="AE435" i="1"/>
  <c r="AE436" i="1"/>
  <c r="AE437" i="1"/>
  <c r="AE438" i="1"/>
  <c r="AE439" i="1"/>
  <c r="AE440" i="1"/>
  <c r="AE441" i="1"/>
  <c r="AE442" i="1"/>
  <c r="AE443" i="1"/>
  <c r="AE444" i="1"/>
  <c r="AE445" i="1"/>
  <c r="AE446" i="1"/>
  <c r="AE447" i="1"/>
  <c r="AE448" i="1"/>
  <c r="AE449" i="1"/>
  <c r="AE450" i="1"/>
  <c r="AE451" i="1"/>
  <c r="AE452" i="1"/>
  <c r="AE453" i="1"/>
  <c r="AE454" i="1"/>
  <c r="AE455" i="1"/>
  <c r="AE456" i="1"/>
  <c r="AE457" i="1"/>
  <c r="AE458" i="1"/>
  <c r="AE459" i="1"/>
  <c r="AE460" i="1"/>
  <c r="AE461" i="1"/>
  <c r="AE462" i="1"/>
  <c r="AE463" i="1"/>
  <c r="AE464" i="1"/>
  <c r="AE465" i="1"/>
  <c r="AE466" i="1"/>
  <c r="AE467" i="1"/>
  <c r="AE468" i="1"/>
  <c r="AE469" i="1"/>
  <c r="AE470" i="1"/>
  <c r="AE471" i="1"/>
  <c r="AE472" i="1"/>
  <c r="AE473" i="1"/>
  <c r="AE474" i="1"/>
  <c r="AE475" i="1"/>
  <c r="AE476" i="1"/>
  <c r="AE477" i="1"/>
  <c r="AE478" i="1"/>
  <c r="AE479" i="1"/>
  <c r="AE480" i="1"/>
  <c r="AE481" i="1"/>
  <c r="AE482" i="1"/>
  <c r="AE483" i="1"/>
  <c r="AE484" i="1"/>
  <c r="AE485" i="1"/>
  <c r="AE486" i="1"/>
  <c r="AE487" i="1"/>
  <c r="AE488" i="1"/>
  <c r="AE489" i="1"/>
  <c r="AE490" i="1"/>
  <c r="AE491" i="1"/>
  <c r="AE492" i="1"/>
  <c r="AE493" i="1"/>
  <c r="AE494" i="1"/>
  <c r="AE495" i="1"/>
  <c r="AE496" i="1"/>
  <c r="AE497" i="1"/>
  <c r="AE498" i="1"/>
  <c r="AE499" i="1"/>
  <c r="AE500" i="1"/>
  <c r="AE501" i="1"/>
  <c r="AE502" i="1"/>
  <c r="AE503" i="1"/>
  <c r="AE504" i="1"/>
  <c r="AE505" i="1"/>
  <c r="AE506" i="1"/>
  <c r="AE507" i="1"/>
  <c r="AE508" i="1"/>
  <c r="AE509" i="1"/>
  <c r="AE510" i="1"/>
  <c r="AE511" i="1"/>
  <c r="AE512" i="1"/>
  <c r="AE513" i="1"/>
  <c r="AE514" i="1"/>
  <c r="AE515" i="1"/>
  <c r="AE516" i="1"/>
  <c r="AE517" i="1"/>
  <c r="AE518" i="1"/>
  <c r="AE519" i="1"/>
  <c r="AE520" i="1"/>
  <c r="AE521" i="1"/>
  <c r="AE522" i="1"/>
  <c r="AE523" i="1"/>
  <c r="AE524" i="1"/>
  <c r="AE525" i="1"/>
  <c r="AE526" i="1"/>
  <c r="AE527" i="1"/>
  <c r="AE528" i="1"/>
  <c r="AE529" i="1"/>
  <c r="AE530" i="1"/>
  <c r="AE531" i="1"/>
  <c r="AE532" i="1"/>
  <c r="AE533" i="1"/>
  <c r="AE534" i="1"/>
  <c r="AE535" i="1"/>
  <c r="AE536" i="1"/>
  <c r="AE537" i="1"/>
  <c r="AE538" i="1"/>
  <c r="AE539" i="1"/>
  <c r="AE540" i="1"/>
  <c r="AE541" i="1"/>
  <c r="AE542" i="1"/>
  <c r="AE543" i="1"/>
  <c r="AE544" i="1"/>
  <c r="AE545" i="1"/>
  <c r="AE546" i="1"/>
  <c r="AE547" i="1"/>
  <c r="AE548" i="1"/>
  <c r="AE549" i="1"/>
  <c r="AE550" i="1"/>
  <c r="AE551" i="1"/>
  <c r="AE552" i="1"/>
  <c r="AE553" i="1"/>
  <c r="AE554" i="1"/>
  <c r="AE555" i="1"/>
  <c r="AE556" i="1"/>
  <c r="AE557" i="1"/>
  <c r="AE558" i="1"/>
  <c r="AE559" i="1"/>
  <c r="AE560" i="1"/>
  <c r="AE561" i="1"/>
  <c r="AE562" i="1"/>
  <c r="AE563" i="1"/>
  <c r="AE564" i="1"/>
  <c r="AE565" i="1"/>
  <c r="AE566" i="1"/>
  <c r="AE567" i="1"/>
  <c r="AE568" i="1"/>
  <c r="AE569" i="1"/>
  <c r="AE570" i="1"/>
  <c r="AE571" i="1"/>
  <c r="AE572" i="1"/>
  <c r="AE573" i="1"/>
  <c r="AE574" i="1"/>
  <c r="AE575" i="1"/>
  <c r="AE576" i="1"/>
  <c r="AE577" i="1"/>
  <c r="AE578" i="1"/>
  <c r="AE579" i="1"/>
  <c r="AE580" i="1"/>
  <c r="AE581" i="1"/>
  <c r="AE582" i="1"/>
  <c r="AE583" i="1"/>
  <c r="AE584" i="1"/>
  <c r="AE585" i="1"/>
  <c r="AE586" i="1"/>
  <c r="AE587" i="1"/>
  <c r="AE588" i="1"/>
  <c r="AE589" i="1"/>
  <c r="AE590" i="1"/>
  <c r="AE591" i="1"/>
  <c r="AE592" i="1"/>
  <c r="AE593" i="1"/>
  <c r="AE594" i="1"/>
  <c r="AE595" i="1"/>
  <c r="AE596" i="1"/>
  <c r="AE597" i="1"/>
  <c r="AE598" i="1"/>
  <c r="AE599" i="1"/>
  <c r="AE600" i="1"/>
  <c r="AE601" i="1"/>
  <c r="AE602" i="1"/>
  <c r="AE603" i="1"/>
  <c r="AE604" i="1"/>
  <c r="AE605" i="1"/>
  <c r="AE606" i="1"/>
  <c r="AC44" i="1"/>
  <c r="AC178" i="1"/>
  <c r="AC45" i="1"/>
  <c r="AC179" i="1"/>
  <c r="AC598" i="1"/>
  <c r="AC46" i="1"/>
  <c r="AC47" i="1"/>
  <c r="AC180" i="1"/>
  <c r="AC599" i="1"/>
  <c r="AC600" i="1"/>
  <c r="AC181" i="1"/>
  <c r="AC601" i="1"/>
  <c r="AC602" i="1"/>
  <c r="AC201" i="1"/>
  <c r="AC202" i="1"/>
  <c r="AC362" i="1"/>
  <c r="AC363" i="1"/>
  <c r="AC603" i="1"/>
  <c r="AC203" i="1"/>
  <c r="AC364" i="1"/>
  <c r="AC604" i="1"/>
  <c r="AC182" i="1"/>
  <c r="AC48" i="1"/>
  <c r="AC605" i="1"/>
  <c r="AC49" i="1"/>
  <c r="AC205" i="1"/>
  <c r="AC206" i="1"/>
  <c r="AC50" i="1"/>
  <c r="AC606" i="1"/>
  <c r="AC183" i="1"/>
  <c r="AC51" i="1"/>
  <c r="AC576" i="1"/>
  <c r="AC52" i="1"/>
  <c r="AC184" i="1"/>
  <c r="AC53" i="1"/>
  <c r="AC207" i="1"/>
  <c r="AC204" i="1"/>
  <c r="AC365" i="1"/>
  <c r="AC366" i="1"/>
  <c r="AC208" i="1"/>
  <c r="B4" i="14"/>
  <c r="B7" i="46"/>
  <c r="B30" i="14"/>
  <c r="B29" i="14"/>
  <c r="B20" i="46"/>
  <c r="B19" i="46"/>
  <c r="C19" i="46" s="1"/>
  <c r="B24" i="46"/>
  <c r="B25" i="46"/>
  <c r="B26" i="46"/>
  <c r="B27" i="46"/>
  <c r="C165" i="16"/>
  <c r="C166" i="16"/>
  <c r="C167" i="16"/>
  <c r="C168" i="16"/>
  <c r="C164" i="16"/>
  <c r="C160" i="16"/>
  <c r="C161" i="16"/>
  <c r="C162" i="16"/>
  <c r="C163" i="16"/>
  <c r="C159" i="16"/>
  <c r="C155" i="16"/>
  <c r="C156" i="16"/>
  <c r="C157" i="16"/>
  <c r="C158" i="16"/>
  <c r="C154" i="16"/>
  <c r="C150" i="16"/>
  <c r="C151" i="16"/>
  <c r="C152" i="16"/>
  <c r="C153" i="16"/>
  <c r="C149" i="16"/>
  <c r="C145" i="16"/>
  <c r="C146" i="16"/>
  <c r="C147" i="16"/>
  <c r="C148" i="16"/>
  <c r="C144" i="16"/>
  <c r="C140" i="16"/>
  <c r="C141" i="16"/>
  <c r="C142" i="16"/>
  <c r="C143" i="16"/>
  <c r="C139" i="16"/>
  <c r="C135" i="16"/>
  <c r="C136" i="16"/>
  <c r="C137" i="16"/>
  <c r="C138" i="16"/>
  <c r="C134" i="16"/>
  <c r="C130" i="16"/>
  <c r="C131" i="16"/>
  <c r="C132" i="16"/>
  <c r="C133" i="16"/>
  <c r="C129" i="16"/>
  <c r="C125" i="16"/>
  <c r="C126" i="16"/>
  <c r="C127" i="16"/>
  <c r="C128" i="16"/>
  <c r="C124" i="16"/>
  <c r="B68" i="46"/>
  <c r="B67" i="46"/>
  <c r="B66" i="46"/>
  <c r="B65" i="46"/>
  <c r="B64" i="46"/>
  <c r="B63" i="46"/>
  <c r="B59" i="46"/>
  <c r="B58" i="46"/>
  <c r="B57" i="46"/>
  <c r="B56" i="46"/>
  <c r="B55" i="46"/>
  <c r="B54" i="46"/>
  <c r="B53" i="46"/>
  <c r="B52" i="46"/>
  <c r="B51" i="46"/>
  <c r="B50" i="46"/>
  <c r="B49" i="46"/>
  <c r="B48" i="46"/>
  <c r="B15" i="46"/>
  <c r="C15" i="46" s="1"/>
  <c r="B13" i="46"/>
  <c r="B12" i="46"/>
  <c r="B36" i="46"/>
  <c r="B35" i="46"/>
  <c r="B34" i="46"/>
  <c r="B33" i="46"/>
  <c r="B32" i="46"/>
  <c r="B31" i="46"/>
  <c r="A4" i="18"/>
  <c r="B67" i="14"/>
  <c r="B25" i="14"/>
  <c r="B24" i="14"/>
  <c r="B23" i="14"/>
  <c r="B22" i="14"/>
  <c r="B21" i="14"/>
  <c r="B20" i="14"/>
  <c r="L282" i="20"/>
  <c r="I244" i="20"/>
  <c r="I367" i="20"/>
  <c r="I376" i="20" s="1"/>
  <c r="I366" i="20"/>
  <c r="I375" i="20" s="1"/>
  <c r="I365" i="20"/>
  <c r="I374" i="20" s="1"/>
  <c r="I364" i="20"/>
  <c r="I373" i="20" s="1"/>
  <c r="I326" i="20"/>
  <c r="I335" i="20" s="1"/>
  <c r="I325" i="20"/>
  <c r="I334" i="20" s="1"/>
  <c r="I324" i="20"/>
  <c r="I333" i="20" s="1"/>
  <c r="I323" i="20"/>
  <c r="I285" i="20"/>
  <c r="I294" i="20" s="1"/>
  <c r="I284" i="20"/>
  <c r="I283" i="20"/>
  <c r="I282" i="20"/>
  <c r="I291" i="20" s="1"/>
  <c r="I243" i="20"/>
  <c r="I252" i="20" s="1"/>
  <c r="I242" i="20"/>
  <c r="I251" i="20" s="1"/>
  <c r="I241" i="20"/>
  <c r="I203" i="20"/>
  <c r="I212" i="20" s="1"/>
  <c r="I202" i="20"/>
  <c r="I211" i="20" s="1"/>
  <c r="I201" i="20"/>
  <c r="I200" i="20"/>
  <c r="I209" i="20" s="1"/>
  <c r="I162" i="20"/>
  <c r="I171" i="20" s="1"/>
  <c r="I161" i="20"/>
  <c r="I170" i="20" s="1"/>
  <c r="I160" i="20"/>
  <c r="I159" i="20"/>
  <c r="I122" i="20"/>
  <c r="I131" i="20" s="1"/>
  <c r="I121" i="20"/>
  <c r="I130" i="20" s="1"/>
  <c r="I120" i="20"/>
  <c r="I129" i="20" s="1"/>
  <c r="I119" i="20"/>
  <c r="I128" i="20" s="1"/>
  <c r="I81" i="20"/>
  <c r="I90" i="20" s="1"/>
  <c r="I80" i="20"/>
  <c r="I79" i="20"/>
  <c r="I78" i="20"/>
  <c r="I41" i="20"/>
  <c r="I40" i="20"/>
  <c r="I39" i="20"/>
  <c r="I48" i="20" s="1"/>
  <c r="I38" i="20"/>
  <c r="J38" i="20"/>
  <c r="AD416" i="1"/>
  <c r="AD368" i="1"/>
  <c r="AD456" i="1"/>
  <c r="AD374" i="1"/>
  <c r="AD384" i="1"/>
  <c r="AD370" i="1"/>
  <c r="AD408" i="1"/>
  <c r="AD403" i="1"/>
  <c r="AD414" i="1"/>
  <c r="AD389" i="1"/>
  <c r="AD373" i="1"/>
  <c r="AD415" i="1"/>
  <c r="AD386" i="1"/>
  <c r="AD454" i="1"/>
  <c r="AD451" i="1"/>
  <c r="AD453" i="1"/>
  <c r="AD436" i="1"/>
  <c r="AD425" i="1"/>
  <c r="AD441" i="1"/>
  <c r="AD431" i="1"/>
  <c r="AD440" i="1"/>
  <c r="AD457" i="1"/>
  <c r="AD455" i="1"/>
  <c r="AD443" i="1"/>
  <c r="AD428" i="1"/>
  <c r="AD450" i="1"/>
  <c r="AD406" i="1"/>
  <c r="AD447" i="1"/>
  <c r="AD420" i="1"/>
  <c r="AD438" i="1"/>
  <c r="AD430" i="1"/>
  <c r="AD449" i="1"/>
  <c r="AD448" i="1"/>
  <c r="AD423" i="1"/>
  <c r="AD421" i="1"/>
  <c r="AD444" i="1"/>
  <c r="AD442" i="1"/>
  <c r="AD446" i="1"/>
  <c r="AD426" i="1"/>
  <c r="AD404" i="1"/>
  <c r="AD412" i="1"/>
  <c r="AD452" i="1"/>
  <c r="AD435" i="1"/>
  <c r="AD434" i="1"/>
  <c r="AD399" i="1"/>
  <c r="AD437" i="1"/>
  <c r="AD433" i="1"/>
  <c r="AD422" i="1"/>
  <c r="AD432" i="1"/>
  <c r="AD427" i="1"/>
  <c r="AD424" i="1"/>
  <c r="AD409" i="1"/>
  <c r="AD393" i="1"/>
  <c r="AD378" i="1"/>
  <c r="AD418" i="1"/>
  <c r="AD377" i="1"/>
  <c r="AD411" i="1"/>
  <c r="AD375" i="1"/>
  <c r="AD383" i="1"/>
  <c r="AD397" i="1"/>
  <c r="AD380" i="1"/>
  <c r="AD429" i="1"/>
  <c r="AD390" i="1"/>
  <c r="AD419" i="1"/>
  <c r="AD401" i="1"/>
  <c r="AD439" i="1"/>
  <c r="AD396" i="1"/>
  <c r="AD395" i="1"/>
  <c r="AD382" i="1"/>
  <c r="AD372" i="1"/>
  <c r="AD388" i="1"/>
  <c r="AD379" i="1"/>
  <c r="AD367" i="1"/>
  <c r="AD381" i="1"/>
  <c r="AD410" i="1"/>
  <c r="AD392" i="1"/>
  <c r="AD417" i="1"/>
  <c r="AD376" i="1"/>
  <c r="AD445" i="1"/>
  <c r="AD394" i="1"/>
  <c r="AD413" i="1"/>
  <c r="AD369" i="1"/>
  <c r="AD407" i="1"/>
  <c r="AD400" i="1"/>
  <c r="AD385" i="1"/>
  <c r="AD371" i="1"/>
  <c r="AD398" i="1"/>
  <c r="AD391" i="1"/>
  <c r="AD387" i="1"/>
  <c r="AD405" i="1"/>
  <c r="AC416" i="1"/>
  <c r="AC368" i="1"/>
  <c r="AC456" i="1"/>
  <c r="AC374" i="1"/>
  <c r="AC384" i="1"/>
  <c r="AC370" i="1"/>
  <c r="AC408" i="1"/>
  <c r="AC403" i="1"/>
  <c r="AC414" i="1"/>
  <c r="AC389" i="1"/>
  <c r="AC373" i="1"/>
  <c r="AC415" i="1"/>
  <c r="AC386" i="1"/>
  <c r="AC454" i="1"/>
  <c r="AC451" i="1"/>
  <c r="AC453" i="1"/>
  <c r="AC436" i="1"/>
  <c r="AC425" i="1"/>
  <c r="AC441" i="1"/>
  <c r="AC431" i="1"/>
  <c r="AC440" i="1"/>
  <c r="AC457" i="1"/>
  <c r="AC455" i="1"/>
  <c r="AC443" i="1"/>
  <c r="AC428" i="1"/>
  <c r="AC450" i="1"/>
  <c r="AC406" i="1"/>
  <c r="AC447" i="1"/>
  <c r="AC420" i="1"/>
  <c r="AC438" i="1"/>
  <c r="AC430" i="1"/>
  <c r="AC449" i="1"/>
  <c r="AC448" i="1"/>
  <c r="AC423" i="1"/>
  <c r="AC421" i="1"/>
  <c r="AC444" i="1"/>
  <c r="AC442" i="1"/>
  <c r="AC446" i="1"/>
  <c r="AC426" i="1"/>
  <c r="AC404" i="1"/>
  <c r="AC412" i="1"/>
  <c r="AC452" i="1"/>
  <c r="AC435" i="1"/>
  <c r="AC434" i="1"/>
  <c r="AC399" i="1"/>
  <c r="AC437" i="1"/>
  <c r="AC433" i="1"/>
  <c r="AC422" i="1"/>
  <c r="AC432" i="1"/>
  <c r="AC427" i="1"/>
  <c r="AC424" i="1"/>
  <c r="AC409" i="1"/>
  <c r="AC393" i="1"/>
  <c r="AC378" i="1"/>
  <c r="AC418" i="1"/>
  <c r="AC377" i="1"/>
  <c r="AC411" i="1"/>
  <c r="AC375" i="1"/>
  <c r="AC383" i="1"/>
  <c r="AC397" i="1"/>
  <c r="AC380" i="1"/>
  <c r="AC429" i="1"/>
  <c r="AC390" i="1"/>
  <c r="AC419" i="1"/>
  <c r="AC401" i="1"/>
  <c r="AC439" i="1"/>
  <c r="AC396" i="1"/>
  <c r="AC395" i="1"/>
  <c r="AC382" i="1"/>
  <c r="AC372" i="1"/>
  <c r="AC388" i="1"/>
  <c r="AC379" i="1"/>
  <c r="AC367" i="1"/>
  <c r="AC381" i="1"/>
  <c r="AC410" i="1"/>
  <c r="AC392" i="1"/>
  <c r="AC417" i="1"/>
  <c r="AC376" i="1"/>
  <c r="AC445" i="1"/>
  <c r="AC394" i="1"/>
  <c r="AC413" i="1"/>
  <c r="AC369" i="1"/>
  <c r="AC407" i="1"/>
  <c r="AC400" i="1"/>
  <c r="AC385" i="1"/>
  <c r="AC371" i="1"/>
  <c r="AC398" i="1"/>
  <c r="AC391" i="1"/>
  <c r="AC387" i="1"/>
  <c r="AC405" i="1"/>
  <c r="B74" i="14"/>
  <c r="C74" i="14" s="1"/>
  <c r="B73" i="14"/>
  <c r="O336" i="20"/>
  <c r="O295" i="20"/>
  <c r="O213" i="20"/>
  <c r="O254" i="20"/>
  <c r="O172" i="20"/>
  <c r="O132" i="20"/>
  <c r="B68" i="14"/>
  <c r="B66" i="14"/>
  <c r="B69" i="14"/>
  <c r="B65" i="14"/>
  <c r="B64" i="14"/>
  <c r="B63" i="14"/>
  <c r="B62" i="14"/>
  <c r="B61" i="14"/>
  <c r="B60" i="14"/>
  <c r="B59" i="14"/>
  <c r="B58" i="14"/>
  <c r="AD605" i="1"/>
  <c r="AD606" i="1"/>
  <c r="AD603" i="1"/>
  <c r="AD600" i="1"/>
  <c r="AD598" i="1"/>
  <c r="AD590" i="1"/>
  <c r="AD602" i="1"/>
  <c r="AD579" i="1"/>
  <c r="AD584" i="1"/>
  <c r="AD583" i="1"/>
  <c r="AD596" i="1"/>
  <c r="AD604" i="1"/>
  <c r="AD582" i="1"/>
  <c r="AD592" i="1"/>
  <c r="AD594" i="1"/>
  <c r="AD585" i="1"/>
  <c r="AD595" i="1"/>
  <c r="AD581" i="1"/>
  <c r="AD578" i="1"/>
  <c r="AD587" i="1"/>
  <c r="AD588" i="1"/>
  <c r="AD597" i="1"/>
  <c r="AD580" i="1"/>
  <c r="AD601" i="1"/>
  <c r="AD599" i="1"/>
  <c r="AD586" i="1"/>
  <c r="AD589" i="1"/>
  <c r="AD591" i="1"/>
  <c r="AD593" i="1"/>
  <c r="AD577" i="1"/>
  <c r="AC590" i="1"/>
  <c r="AC579" i="1"/>
  <c r="AC584" i="1"/>
  <c r="AC583" i="1"/>
  <c r="AC596" i="1"/>
  <c r="AC582" i="1"/>
  <c r="AC592" i="1"/>
  <c r="AC594" i="1"/>
  <c r="AC585" i="1"/>
  <c r="AC595" i="1"/>
  <c r="AC581" i="1"/>
  <c r="AC578" i="1"/>
  <c r="AC587" i="1"/>
  <c r="AC588" i="1"/>
  <c r="AC597" i="1"/>
  <c r="AC580" i="1"/>
  <c r="AC586" i="1"/>
  <c r="AC589" i="1"/>
  <c r="AC591" i="1"/>
  <c r="AC593" i="1"/>
  <c r="AC577" i="1"/>
  <c r="AD565" i="1"/>
  <c r="AD562" i="1"/>
  <c r="AD575" i="1"/>
  <c r="AD560" i="1"/>
  <c r="AD567" i="1"/>
  <c r="AD570" i="1"/>
  <c r="AD563" i="1"/>
  <c r="AD573" i="1"/>
  <c r="AD566" i="1"/>
  <c r="AD574" i="1"/>
  <c r="AD571" i="1"/>
  <c r="AD576" i="1"/>
  <c r="AD561" i="1"/>
  <c r="AD559" i="1"/>
  <c r="AD569" i="1"/>
  <c r="AD572" i="1"/>
  <c r="AD564" i="1"/>
  <c r="AD568" i="1"/>
  <c r="AC565" i="1"/>
  <c r="AC562" i="1"/>
  <c r="AC575" i="1"/>
  <c r="AC560" i="1"/>
  <c r="AC567" i="1"/>
  <c r="AC570" i="1"/>
  <c r="AC563" i="1"/>
  <c r="AC573" i="1"/>
  <c r="AC566" i="1"/>
  <c r="AC574" i="1"/>
  <c r="AC571" i="1"/>
  <c r="AC561" i="1"/>
  <c r="AC559" i="1"/>
  <c r="AC569" i="1"/>
  <c r="AC572" i="1"/>
  <c r="AC564" i="1"/>
  <c r="AC568" i="1"/>
  <c r="AD522" i="1"/>
  <c r="AD481" i="1"/>
  <c r="AD480" i="1"/>
  <c r="AD462" i="1"/>
  <c r="AD461" i="1"/>
  <c r="AD471" i="1"/>
  <c r="AD513" i="1"/>
  <c r="AD537" i="1"/>
  <c r="AD538" i="1"/>
  <c r="AD555" i="1"/>
  <c r="AD541" i="1"/>
  <c r="AD470" i="1"/>
  <c r="AD460" i="1"/>
  <c r="AD498" i="1"/>
  <c r="AD539" i="1"/>
  <c r="AD524" i="1"/>
  <c r="AD550" i="1"/>
  <c r="AD476" i="1"/>
  <c r="AD494" i="1"/>
  <c r="AD459" i="1"/>
  <c r="AD520" i="1"/>
  <c r="AD517" i="1"/>
  <c r="AD528" i="1"/>
  <c r="AD473" i="1"/>
  <c r="AD534" i="1"/>
  <c r="AD468" i="1"/>
  <c r="AD514" i="1"/>
  <c r="AD547" i="1"/>
  <c r="AD542" i="1"/>
  <c r="AD495" i="1"/>
  <c r="AD491" i="1"/>
  <c r="AD515" i="1"/>
  <c r="AD469" i="1"/>
  <c r="AD484" i="1"/>
  <c r="AD510" i="1"/>
  <c r="AD500" i="1"/>
  <c r="AD402" i="1"/>
  <c r="AD499" i="1"/>
  <c r="AD535" i="1"/>
  <c r="AD554" i="1"/>
  <c r="AD540" i="1"/>
  <c r="AD526" i="1"/>
  <c r="AD549" i="1"/>
  <c r="AD548" i="1"/>
  <c r="AD551" i="1"/>
  <c r="AD489" i="1"/>
  <c r="AD509" i="1"/>
  <c r="AD536" i="1"/>
  <c r="AD490" i="1"/>
  <c r="AD487" i="1"/>
  <c r="AD531" i="1"/>
  <c r="AD477" i="1"/>
  <c r="AD545" i="1"/>
  <c r="AD546" i="1"/>
  <c r="AD543" i="1"/>
  <c r="AD530" i="1"/>
  <c r="AD553" i="1"/>
  <c r="AD506" i="1"/>
  <c r="AD523" i="1"/>
  <c r="AD558" i="1"/>
  <c r="AD496" i="1"/>
  <c r="AD485" i="1"/>
  <c r="AD508" i="1"/>
  <c r="AD503" i="1"/>
  <c r="AD475" i="1"/>
  <c r="AD557" i="1"/>
  <c r="AD497" i="1"/>
  <c r="AD519" i="1"/>
  <c r="AD501" i="1"/>
  <c r="AD474" i="1"/>
  <c r="AD458" i="1"/>
  <c r="AD518" i="1"/>
  <c r="AD482" i="1"/>
  <c r="AD511" i="1"/>
  <c r="AD467" i="1"/>
  <c r="AD505" i="1"/>
  <c r="AD516" i="1"/>
  <c r="AD507" i="1"/>
  <c r="AD492" i="1"/>
  <c r="AD552" i="1"/>
  <c r="AD502" i="1"/>
  <c r="AD525" i="1"/>
  <c r="AD533" i="1"/>
  <c r="AD466" i="1"/>
  <c r="AD465" i="1"/>
  <c r="AD463" i="1"/>
  <c r="AD464" i="1"/>
  <c r="AD556" i="1"/>
  <c r="AD512" i="1"/>
  <c r="AD493" i="1"/>
  <c r="AD532" i="1"/>
  <c r="AD488" i="1"/>
  <c r="AD529" i="1"/>
  <c r="AD544" i="1"/>
  <c r="AD527" i="1"/>
  <c r="AD521" i="1"/>
  <c r="AD479" i="1"/>
  <c r="AD504" i="1"/>
  <c r="AD483" i="1"/>
  <c r="AD486" i="1"/>
  <c r="AD472" i="1"/>
  <c r="AD478" i="1"/>
  <c r="AC522" i="1"/>
  <c r="AC481" i="1"/>
  <c r="AC480" i="1"/>
  <c r="AC462" i="1"/>
  <c r="AC461" i="1"/>
  <c r="AC471" i="1"/>
  <c r="AC513" i="1"/>
  <c r="AC537" i="1"/>
  <c r="AC538" i="1"/>
  <c r="AC555" i="1"/>
  <c r="AC541" i="1"/>
  <c r="AC470" i="1"/>
  <c r="AC460" i="1"/>
  <c r="AC498" i="1"/>
  <c r="AC539" i="1"/>
  <c r="AC524" i="1"/>
  <c r="AC550" i="1"/>
  <c r="AC476" i="1"/>
  <c r="AC494" i="1"/>
  <c r="AC459" i="1"/>
  <c r="AC520" i="1"/>
  <c r="AC517" i="1"/>
  <c r="AC528" i="1"/>
  <c r="AC473" i="1"/>
  <c r="AC534" i="1"/>
  <c r="AC468" i="1"/>
  <c r="AC514" i="1"/>
  <c r="AC547" i="1"/>
  <c r="AC542" i="1"/>
  <c r="AC495" i="1"/>
  <c r="AC491" i="1"/>
  <c r="AC515" i="1"/>
  <c r="AC469" i="1"/>
  <c r="AC484" i="1"/>
  <c r="AC510" i="1"/>
  <c r="AC500" i="1"/>
  <c r="AC402" i="1"/>
  <c r="AC499" i="1"/>
  <c r="AC535" i="1"/>
  <c r="AC554" i="1"/>
  <c r="AC540" i="1"/>
  <c r="AC526" i="1"/>
  <c r="AC549" i="1"/>
  <c r="AC548" i="1"/>
  <c r="AC551" i="1"/>
  <c r="AC489" i="1"/>
  <c r="AC509" i="1"/>
  <c r="AC536" i="1"/>
  <c r="AC490" i="1"/>
  <c r="AC487" i="1"/>
  <c r="AC531" i="1"/>
  <c r="AC477" i="1"/>
  <c r="AC545" i="1"/>
  <c r="AC546" i="1"/>
  <c r="AC543" i="1"/>
  <c r="AC530" i="1"/>
  <c r="AC553" i="1"/>
  <c r="AC506" i="1"/>
  <c r="AC523" i="1"/>
  <c r="AC558" i="1"/>
  <c r="AC496" i="1"/>
  <c r="AC485" i="1"/>
  <c r="AC508" i="1"/>
  <c r="AC503" i="1"/>
  <c r="AC475" i="1"/>
  <c r="AC557" i="1"/>
  <c r="AC497" i="1"/>
  <c r="AC519" i="1"/>
  <c r="AC501" i="1"/>
  <c r="AC474" i="1"/>
  <c r="AC458" i="1"/>
  <c r="AC518" i="1"/>
  <c r="AC482" i="1"/>
  <c r="AC511" i="1"/>
  <c r="AC467" i="1"/>
  <c r="AC505" i="1"/>
  <c r="AC516" i="1"/>
  <c r="AC507" i="1"/>
  <c r="AC492" i="1"/>
  <c r="AC552" i="1"/>
  <c r="AC502" i="1"/>
  <c r="AC525" i="1"/>
  <c r="AC533" i="1"/>
  <c r="AC466" i="1"/>
  <c r="AC465" i="1"/>
  <c r="AC463" i="1"/>
  <c r="AC464" i="1"/>
  <c r="AC556" i="1"/>
  <c r="AC512" i="1"/>
  <c r="AC493" i="1"/>
  <c r="AC532" i="1"/>
  <c r="AC488" i="1"/>
  <c r="AC529" i="1"/>
  <c r="AC544" i="1"/>
  <c r="AC527" i="1"/>
  <c r="AC521" i="1"/>
  <c r="AC479" i="1"/>
  <c r="AC504" i="1"/>
  <c r="AC483" i="1"/>
  <c r="AC486" i="1"/>
  <c r="AC472" i="1"/>
  <c r="AC478" i="1"/>
  <c r="AD338" i="1"/>
  <c r="AD291" i="1"/>
  <c r="AD352" i="1"/>
  <c r="AD308" i="1"/>
  <c r="AD303" i="1"/>
  <c r="AD340" i="1"/>
  <c r="AD299" i="1"/>
  <c r="AD263" i="1"/>
  <c r="AD336" i="1"/>
  <c r="AD327" i="1"/>
  <c r="AD246" i="1"/>
  <c r="AD294" i="1"/>
  <c r="AD305" i="1"/>
  <c r="AD334" i="1"/>
  <c r="AD324" i="1"/>
  <c r="AD326" i="1"/>
  <c r="AD355" i="1"/>
  <c r="AD346" i="1"/>
  <c r="AD292" i="1"/>
  <c r="AD347" i="1"/>
  <c r="AD306" i="1"/>
  <c r="AD267" i="1"/>
  <c r="AD304" i="1"/>
  <c r="AD312" i="1"/>
  <c r="AD345" i="1"/>
  <c r="AD307" i="1"/>
  <c r="AD302" i="1"/>
  <c r="AD296" i="1"/>
  <c r="AD286" i="1"/>
  <c r="AD255" i="1"/>
  <c r="AD258" i="1"/>
  <c r="AD293" i="1"/>
  <c r="AD257" i="1"/>
  <c r="AD328" i="1"/>
  <c r="AD318" i="1"/>
  <c r="AD315" i="1"/>
  <c r="AD339" i="1"/>
  <c r="AD354" i="1"/>
  <c r="AD277" i="1"/>
  <c r="AD244" i="1"/>
  <c r="AD314" i="1"/>
  <c r="AD310" i="1"/>
  <c r="AD300" i="1"/>
  <c r="AD349" i="1"/>
  <c r="AD341" i="1"/>
  <c r="AD260" i="1"/>
  <c r="AD333" i="1"/>
  <c r="AD337" i="1"/>
  <c r="AD335" i="1"/>
  <c r="AD278" i="1"/>
  <c r="AD281" i="1"/>
  <c r="AD359" i="1"/>
  <c r="AD298" i="1"/>
  <c r="AD284" i="1"/>
  <c r="AD273" i="1"/>
  <c r="AD251" i="1"/>
  <c r="AD343" i="1"/>
  <c r="AD269" i="1"/>
  <c r="AD301" i="1"/>
  <c r="AD248" i="1"/>
  <c r="AD247" i="1"/>
  <c r="AD323" i="1"/>
  <c r="AD266" i="1"/>
  <c r="AD287" i="1"/>
  <c r="AD253" i="1"/>
  <c r="AD289" i="1"/>
  <c r="AD331" i="1"/>
  <c r="AD316" i="1"/>
  <c r="AD357" i="1"/>
  <c r="AD276" i="1"/>
  <c r="AD250" i="1"/>
  <c r="AD279" i="1"/>
  <c r="AD309" i="1"/>
  <c r="AD332" i="1"/>
  <c r="AD311" i="1"/>
  <c r="AD262" i="1"/>
  <c r="AD348" i="1"/>
  <c r="AD366" i="1"/>
  <c r="AD321" i="1"/>
  <c r="AD319" i="1"/>
  <c r="AD295" i="1"/>
  <c r="AD272" i="1"/>
  <c r="AD274" i="1"/>
  <c r="AD256" i="1"/>
  <c r="AD322" i="1"/>
  <c r="AD342" i="1"/>
  <c r="AD297" i="1"/>
  <c r="AD358" i="1"/>
  <c r="AD271" i="1"/>
  <c r="AD365" i="1"/>
  <c r="AD363" i="1"/>
  <c r="AD259" i="1"/>
  <c r="AD275" i="1"/>
  <c r="AD265" i="1"/>
  <c r="AD264" i="1"/>
  <c r="AD254" i="1"/>
  <c r="AD285" i="1"/>
  <c r="AD261" i="1"/>
  <c r="AD283" i="1"/>
  <c r="AD282" i="1"/>
  <c r="AD243" i="1"/>
  <c r="AD356" i="1"/>
  <c r="AD361" i="1"/>
  <c r="AD360" i="1"/>
  <c r="AD280" i="1"/>
  <c r="AD245" i="1"/>
  <c r="AD362" i="1"/>
  <c r="AD329" i="1"/>
  <c r="AD364" i="1"/>
  <c r="AD252" i="1"/>
  <c r="AD290" i="1"/>
  <c r="AD270" i="1"/>
  <c r="AD268" i="1"/>
  <c r="AD288" i="1"/>
  <c r="AD353" i="1"/>
  <c r="AD249" i="1"/>
  <c r="AD351" i="1"/>
  <c r="AD350" i="1"/>
  <c r="AD330" i="1"/>
  <c r="AD313" i="1"/>
  <c r="AD317" i="1"/>
  <c r="AD320" i="1"/>
  <c r="AD325" i="1"/>
  <c r="AD344" i="1"/>
  <c r="AC338" i="1"/>
  <c r="AC291" i="1"/>
  <c r="AC352" i="1"/>
  <c r="AC308" i="1"/>
  <c r="AC303" i="1"/>
  <c r="AC340" i="1"/>
  <c r="AC299" i="1"/>
  <c r="AC263" i="1"/>
  <c r="AC336" i="1"/>
  <c r="AC327" i="1"/>
  <c r="AC246" i="1"/>
  <c r="AC294" i="1"/>
  <c r="AC305" i="1"/>
  <c r="AC334" i="1"/>
  <c r="AC324" i="1"/>
  <c r="AC326" i="1"/>
  <c r="AC355" i="1"/>
  <c r="AC346" i="1"/>
  <c r="AC292" i="1"/>
  <c r="AC347" i="1"/>
  <c r="AC306" i="1"/>
  <c r="AC267" i="1"/>
  <c r="AC304" i="1"/>
  <c r="AC312" i="1"/>
  <c r="AC345" i="1"/>
  <c r="AC307" i="1"/>
  <c r="AC302" i="1"/>
  <c r="AC296" i="1"/>
  <c r="AC286" i="1"/>
  <c r="AC255" i="1"/>
  <c r="AC258" i="1"/>
  <c r="AC293" i="1"/>
  <c r="AC257" i="1"/>
  <c r="AC328" i="1"/>
  <c r="AC318" i="1"/>
  <c r="AC315" i="1"/>
  <c r="AC339" i="1"/>
  <c r="AC354" i="1"/>
  <c r="AC277" i="1"/>
  <c r="AC244" i="1"/>
  <c r="AC314" i="1"/>
  <c r="AC310" i="1"/>
  <c r="AC300" i="1"/>
  <c r="AC349" i="1"/>
  <c r="AC341" i="1"/>
  <c r="AC260" i="1"/>
  <c r="AC333" i="1"/>
  <c r="AC337" i="1"/>
  <c r="AC335" i="1"/>
  <c r="AC278" i="1"/>
  <c r="AC281" i="1"/>
  <c r="AC359" i="1"/>
  <c r="AC298" i="1"/>
  <c r="AC284" i="1"/>
  <c r="AC273" i="1"/>
  <c r="AC251" i="1"/>
  <c r="AC343" i="1"/>
  <c r="AC269" i="1"/>
  <c r="AC301" i="1"/>
  <c r="AC248" i="1"/>
  <c r="AC247" i="1"/>
  <c r="AC323" i="1"/>
  <c r="AC266" i="1"/>
  <c r="AC287" i="1"/>
  <c r="AC253" i="1"/>
  <c r="AC289" i="1"/>
  <c r="AC331" i="1"/>
  <c r="AC316" i="1"/>
  <c r="AC357" i="1"/>
  <c r="AC276" i="1"/>
  <c r="AC250" i="1"/>
  <c r="AC279" i="1"/>
  <c r="AC309" i="1"/>
  <c r="AC332" i="1"/>
  <c r="AC311" i="1"/>
  <c r="AC262" i="1"/>
  <c r="AC348" i="1"/>
  <c r="AC321" i="1"/>
  <c r="AC319" i="1"/>
  <c r="AC295" i="1"/>
  <c r="AC272" i="1"/>
  <c r="AC274" i="1"/>
  <c r="AC256" i="1"/>
  <c r="AC322" i="1"/>
  <c r="AC342" i="1"/>
  <c r="AC297" i="1"/>
  <c r="AC358" i="1"/>
  <c r="AC271" i="1"/>
  <c r="AC259" i="1"/>
  <c r="AC275" i="1"/>
  <c r="AC265" i="1"/>
  <c r="AC264" i="1"/>
  <c r="AC254" i="1"/>
  <c r="AC285" i="1"/>
  <c r="AC261" i="1"/>
  <c r="AC283" i="1"/>
  <c r="AC282" i="1"/>
  <c r="AC243" i="1"/>
  <c r="AC356" i="1"/>
  <c r="AC361" i="1"/>
  <c r="AC360" i="1"/>
  <c r="AC280" i="1"/>
  <c r="AC245" i="1"/>
  <c r="AC329" i="1"/>
  <c r="AC252" i="1"/>
  <c r="AC290" i="1"/>
  <c r="AC270" i="1"/>
  <c r="AC268" i="1"/>
  <c r="AC288" i="1"/>
  <c r="AC353" i="1"/>
  <c r="AC249" i="1"/>
  <c r="AC351" i="1"/>
  <c r="AC350" i="1"/>
  <c r="AC330" i="1"/>
  <c r="AC313" i="1"/>
  <c r="AC317" i="1"/>
  <c r="AC320" i="1"/>
  <c r="AC325" i="1"/>
  <c r="AC344" i="1"/>
  <c r="AD220" i="1"/>
  <c r="AD211" i="1"/>
  <c r="AD213" i="1"/>
  <c r="AD210" i="1"/>
  <c r="AD233" i="1"/>
  <c r="AD216" i="1"/>
  <c r="AD242" i="1"/>
  <c r="AD229" i="1"/>
  <c r="AD239" i="1"/>
  <c r="AD236" i="1"/>
  <c r="AD235" i="1"/>
  <c r="AD215" i="1"/>
  <c r="AD231" i="1"/>
  <c r="AD221" i="1"/>
  <c r="AD218" i="1"/>
  <c r="AD228" i="1"/>
  <c r="AD224" i="1"/>
  <c r="AD234" i="1"/>
  <c r="AD217" i="1"/>
  <c r="AD212" i="1"/>
  <c r="AD225" i="1"/>
  <c r="AD227" i="1"/>
  <c r="AD241" i="1"/>
  <c r="AD238" i="1"/>
  <c r="AD222" i="1"/>
  <c r="AD214" i="1"/>
  <c r="AD223" i="1"/>
  <c r="AD232" i="1"/>
  <c r="AD219" i="1"/>
  <c r="AD240" i="1"/>
  <c r="AD226" i="1"/>
  <c r="AD209" i="1"/>
  <c r="AD230" i="1"/>
  <c r="AD237" i="1"/>
  <c r="AC220" i="1"/>
  <c r="AC211" i="1"/>
  <c r="AC213" i="1"/>
  <c r="AC210" i="1"/>
  <c r="AC233" i="1"/>
  <c r="AC216" i="1"/>
  <c r="AC242" i="1"/>
  <c r="AC229" i="1"/>
  <c r="AC239" i="1"/>
  <c r="AC236" i="1"/>
  <c r="AC235" i="1"/>
  <c r="AC215" i="1"/>
  <c r="AC231" i="1"/>
  <c r="AC221" i="1"/>
  <c r="AC218" i="1"/>
  <c r="AC228" i="1"/>
  <c r="AC224" i="1"/>
  <c r="AC234" i="1"/>
  <c r="AC217" i="1"/>
  <c r="AC212" i="1"/>
  <c r="AC225" i="1"/>
  <c r="AC227" i="1"/>
  <c r="AC241" i="1"/>
  <c r="AC238" i="1"/>
  <c r="AC222" i="1"/>
  <c r="AC214" i="1"/>
  <c r="AC223" i="1"/>
  <c r="AC232" i="1"/>
  <c r="AC219" i="1"/>
  <c r="AC240" i="1"/>
  <c r="AC226" i="1"/>
  <c r="AC209" i="1"/>
  <c r="AC230" i="1"/>
  <c r="AC237" i="1"/>
  <c r="AD206" i="1"/>
  <c r="AD205" i="1"/>
  <c r="AD208" i="1"/>
  <c r="AD207" i="1"/>
  <c r="AD193" i="1"/>
  <c r="AD199" i="1"/>
  <c r="AD196" i="1"/>
  <c r="AD197" i="1"/>
  <c r="AD198" i="1"/>
  <c r="AD200" i="1"/>
  <c r="AD189" i="1"/>
  <c r="AD194" i="1"/>
  <c r="AD188" i="1"/>
  <c r="AD195" i="1"/>
  <c r="AD186" i="1"/>
  <c r="AD191" i="1"/>
  <c r="AD204" i="1"/>
  <c r="AD201" i="1"/>
  <c r="AD192" i="1"/>
  <c r="AD185" i="1"/>
  <c r="AD187" i="1"/>
  <c r="AD190" i="1"/>
  <c r="AD203" i="1"/>
  <c r="AD202" i="1"/>
  <c r="AC193" i="1"/>
  <c r="AC199" i="1"/>
  <c r="AC196" i="1"/>
  <c r="AC197" i="1"/>
  <c r="AC198" i="1"/>
  <c r="AC200" i="1"/>
  <c r="AC189" i="1"/>
  <c r="AC194" i="1"/>
  <c r="AC188" i="1"/>
  <c r="AC195" i="1"/>
  <c r="AC186" i="1"/>
  <c r="AC191" i="1"/>
  <c r="AC192" i="1"/>
  <c r="AC185" i="1"/>
  <c r="AC187" i="1"/>
  <c r="AC190" i="1"/>
  <c r="AD111" i="1"/>
  <c r="AD135" i="1"/>
  <c r="AD72" i="1"/>
  <c r="AD181" i="1"/>
  <c r="AD89" i="1"/>
  <c r="AD153" i="1"/>
  <c r="AD142" i="1"/>
  <c r="AD68" i="1"/>
  <c r="AD160" i="1"/>
  <c r="AD159" i="1"/>
  <c r="AD144" i="1"/>
  <c r="AD101" i="1"/>
  <c r="AD155" i="1"/>
  <c r="AD169" i="1"/>
  <c r="AD152" i="1"/>
  <c r="AD85" i="1"/>
  <c r="AD116" i="1"/>
  <c r="AD97" i="1"/>
  <c r="AD130" i="1"/>
  <c r="AD161" i="1"/>
  <c r="AD151" i="1"/>
  <c r="AD83" i="1"/>
  <c r="AD123" i="1"/>
  <c r="AD134" i="1"/>
  <c r="AD167" i="1"/>
  <c r="AD79" i="1"/>
  <c r="AD120" i="1"/>
  <c r="AD157" i="1"/>
  <c r="AD93" i="1"/>
  <c r="AD67" i="1"/>
  <c r="AD57" i="1"/>
  <c r="AD66" i="1"/>
  <c r="AD65" i="1"/>
  <c r="AD80" i="1"/>
  <c r="AD86" i="1"/>
  <c r="AD61" i="1"/>
  <c r="AD127" i="1"/>
  <c r="AD132" i="1"/>
  <c r="AD171" i="1"/>
  <c r="AD140" i="1"/>
  <c r="AD141" i="1"/>
  <c r="AD114" i="1"/>
  <c r="AD94" i="1"/>
  <c r="AD62" i="1"/>
  <c r="AD166" i="1"/>
  <c r="AD78" i="1"/>
  <c r="AD117" i="1"/>
  <c r="AD109" i="1"/>
  <c r="AD100" i="1"/>
  <c r="AD77" i="1"/>
  <c r="AD180" i="1"/>
  <c r="AD118" i="1"/>
  <c r="AD103" i="1"/>
  <c r="AD143" i="1"/>
  <c r="AD164" i="1"/>
  <c r="AD162" i="1"/>
  <c r="AD179" i="1"/>
  <c r="AD177" i="1"/>
  <c r="AD95" i="1"/>
  <c r="AD56" i="1"/>
  <c r="AD55" i="1"/>
  <c r="AD90" i="1"/>
  <c r="AD147" i="1"/>
  <c r="AD98" i="1"/>
  <c r="AD69" i="1"/>
  <c r="AD128" i="1"/>
  <c r="AD81" i="1"/>
  <c r="AD170" i="1"/>
  <c r="AD133" i="1"/>
  <c r="AD139" i="1"/>
  <c r="AD138" i="1"/>
  <c r="AD158" i="1"/>
  <c r="AD76" i="1"/>
  <c r="AD88" i="1"/>
  <c r="AD163" i="1"/>
  <c r="AD96" i="1"/>
  <c r="AD121" i="1"/>
  <c r="AD87" i="1"/>
  <c r="AD99" i="1"/>
  <c r="AD119" i="1"/>
  <c r="AD71" i="1"/>
  <c r="AD182" i="1"/>
  <c r="AD106" i="1"/>
  <c r="AD92" i="1"/>
  <c r="AD183" i="1"/>
  <c r="AD54" i="1"/>
  <c r="AD165" i="1"/>
  <c r="AD107" i="1"/>
  <c r="AD156" i="1"/>
  <c r="AD126" i="1"/>
  <c r="AD125" i="1"/>
  <c r="AD131" i="1"/>
  <c r="AD70" i="1"/>
  <c r="AD84" i="1"/>
  <c r="AD64" i="1"/>
  <c r="AD63" i="1"/>
  <c r="AD73" i="1"/>
  <c r="AD146" i="1"/>
  <c r="AD122" i="1"/>
  <c r="AD102" i="1"/>
  <c r="AD137" i="1"/>
  <c r="AD105" i="1"/>
  <c r="AD104" i="1"/>
  <c r="AD136" i="1"/>
  <c r="AD59" i="1"/>
  <c r="AD178" i="1"/>
  <c r="AD58" i="1"/>
  <c r="AD129" i="1"/>
  <c r="AD82" i="1"/>
  <c r="AD108" i="1"/>
  <c r="AD173" i="1"/>
  <c r="AD60" i="1"/>
  <c r="AD91" i="1"/>
  <c r="AD74" i="1"/>
  <c r="AD75" i="1"/>
  <c r="AD176" i="1"/>
  <c r="AD154" i="1"/>
  <c r="AD172" i="1"/>
  <c r="AD145" i="1"/>
  <c r="AD149" i="1"/>
  <c r="AD148" i="1"/>
  <c r="AD174" i="1"/>
  <c r="AD175" i="1"/>
  <c r="AD168" i="1"/>
  <c r="AD112" i="1"/>
  <c r="AD110" i="1"/>
  <c r="AD184" i="1"/>
  <c r="AD150" i="1"/>
  <c r="AD115" i="1"/>
  <c r="AD113" i="1"/>
  <c r="AD124" i="1"/>
  <c r="AC111" i="1"/>
  <c r="AC135" i="1"/>
  <c r="AC72" i="1"/>
  <c r="AC89" i="1"/>
  <c r="AC153" i="1"/>
  <c r="AC142" i="1"/>
  <c r="AC68" i="1"/>
  <c r="AC160" i="1"/>
  <c r="AC159" i="1"/>
  <c r="AC144" i="1"/>
  <c r="AC101" i="1"/>
  <c r="AC155" i="1"/>
  <c r="AC169" i="1"/>
  <c r="AC152" i="1"/>
  <c r="AC85" i="1"/>
  <c r="AC116" i="1"/>
  <c r="AC97" i="1"/>
  <c r="AC130" i="1"/>
  <c r="AC161" i="1"/>
  <c r="AC151" i="1"/>
  <c r="AC83" i="1"/>
  <c r="AC123" i="1"/>
  <c r="AC134" i="1"/>
  <c r="AC167" i="1"/>
  <c r="AC79" i="1"/>
  <c r="AC120" i="1"/>
  <c r="AC157" i="1"/>
  <c r="AC93" i="1"/>
  <c r="AC67" i="1"/>
  <c r="AC57" i="1"/>
  <c r="AC66" i="1"/>
  <c r="AC65" i="1"/>
  <c r="AC80" i="1"/>
  <c r="AC86" i="1"/>
  <c r="AC61" i="1"/>
  <c r="AC127" i="1"/>
  <c r="AC132" i="1"/>
  <c r="AC171" i="1"/>
  <c r="AC140" i="1"/>
  <c r="AC141" i="1"/>
  <c r="AC114" i="1"/>
  <c r="AC94" i="1"/>
  <c r="AC62" i="1"/>
  <c r="AC166" i="1"/>
  <c r="AC78" i="1"/>
  <c r="AC117" i="1"/>
  <c r="AC109" i="1"/>
  <c r="AC100" i="1"/>
  <c r="AC77" i="1"/>
  <c r="AC118" i="1"/>
  <c r="AC103" i="1"/>
  <c r="AC143" i="1"/>
  <c r="AC164" i="1"/>
  <c r="AC162" i="1"/>
  <c r="AC177" i="1"/>
  <c r="AC95" i="1"/>
  <c r="AC56" i="1"/>
  <c r="AC55" i="1"/>
  <c r="AC90" i="1"/>
  <c r="AC147" i="1"/>
  <c r="AC98" i="1"/>
  <c r="AC69" i="1"/>
  <c r="AC128" i="1"/>
  <c r="AC81" i="1"/>
  <c r="AC170" i="1"/>
  <c r="AC133" i="1"/>
  <c r="AC139" i="1"/>
  <c r="AC138" i="1"/>
  <c r="AC158" i="1"/>
  <c r="AC76" i="1"/>
  <c r="AC88" i="1"/>
  <c r="AC163" i="1"/>
  <c r="AC96" i="1"/>
  <c r="AC121" i="1"/>
  <c r="AC87" i="1"/>
  <c r="AC99" i="1"/>
  <c r="AC119" i="1"/>
  <c r="AC71" i="1"/>
  <c r="AC106" i="1"/>
  <c r="AC92" i="1"/>
  <c r="AC54" i="1"/>
  <c r="AC165" i="1"/>
  <c r="AC107" i="1"/>
  <c r="AC156" i="1"/>
  <c r="AC126" i="1"/>
  <c r="AC125" i="1"/>
  <c r="AC131" i="1"/>
  <c r="AC70" i="1"/>
  <c r="AC84" i="1"/>
  <c r="AC64" i="1"/>
  <c r="AC63" i="1"/>
  <c r="AC73" i="1"/>
  <c r="AC146" i="1"/>
  <c r="AC122" i="1"/>
  <c r="AC102" i="1"/>
  <c r="AC137" i="1"/>
  <c r="AC105" i="1"/>
  <c r="AC104" i="1"/>
  <c r="AC136" i="1"/>
  <c r="AC59" i="1"/>
  <c r="AC58" i="1"/>
  <c r="AC129" i="1"/>
  <c r="AC82" i="1"/>
  <c r="AC108" i="1"/>
  <c r="AC173" i="1"/>
  <c r="AC60" i="1"/>
  <c r="AC91" i="1"/>
  <c r="AC74" i="1"/>
  <c r="AC75" i="1"/>
  <c r="AC176" i="1"/>
  <c r="AC154" i="1"/>
  <c r="AC172" i="1"/>
  <c r="AC145" i="1"/>
  <c r="AC149" i="1"/>
  <c r="AC148" i="1"/>
  <c r="AC174" i="1"/>
  <c r="AC175" i="1"/>
  <c r="AC168" i="1"/>
  <c r="AC112" i="1"/>
  <c r="AC110" i="1"/>
  <c r="AC150" i="1"/>
  <c r="AC115" i="1"/>
  <c r="AC113" i="1"/>
  <c r="AC124" i="1"/>
  <c r="AD48" i="1"/>
  <c r="AD44" i="1"/>
  <c r="AD47" i="1"/>
  <c r="AD45" i="1"/>
  <c r="AD46" i="1"/>
  <c r="AD51" i="1"/>
  <c r="AD49" i="1"/>
  <c r="AD29" i="1"/>
  <c r="AD36" i="1"/>
  <c r="AD25" i="1"/>
  <c r="AD23" i="1"/>
  <c r="AD16" i="1"/>
  <c r="AD39" i="1"/>
  <c r="AD11" i="1"/>
  <c r="AD21" i="1"/>
  <c r="AD33" i="1"/>
  <c r="AD40" i="1"/>
  <c r="AD12" i="1"/>
  <c r="AD13" i="1"/>
  <c r="AD26" i="1"/>
  <c r="AD34" i="1"/>
  <c r="AD10" i="1"/>
  <c r="AD35" i="1"/>
  <c r="AD6" i="1"/>
  <c r="AD7" i="1"/>
  <c r="AD43" i="1"/>
  <c r="AD17" i="1"/>
  <c r="AD42" i="1"/>
  <c r="AD5" i="1"/>
  <c r="AD14" i="1"/>
  <c r="AD18" i="1"/>
  <c r="AD31" i="1"/>
  <c r="AD20" i="1"/>
  <c r="AD27" i="1"/>
  <c r="AD38" i="1"/>
  <c r="AD24" i="1"/>
  <c r="AD15" i="1"/>
  <c r="AD4" i="1"/>
  <c r="AD30" i="1"/>
  <c r="AD3" i="1"/>
  <c r="AD8" i="1"/>
  <c r="AD32" i="1"/>
  <c r="AD9" i="1"/>
  <c r="AD22" i="1"/>
  <c r="AD37" i="1"/>
  <c r="AD19" i="1"/>
  <c r="AD28" i="1"/>
  <c r="AD41" i="1"/>
  <c r="AD52" i="1"/>
  <c r="AD50" i="1"/>
  <c r="AD53" i="1"/>
  <c r="AC29" i="1"/>
  <c r="AC36" i="1"/>
  <c r="AC25" i="1"/>
  <c r="AC23" i="1"/>
  <c r="AC16" i="1"/>
  <c r="AC39" i="1"/>
  <c r="AC11" i="1"/>
  <c r="AC21" i="1"/>
  <c r="AC33" i="1"/>
  <c r="AC40" i="1"/>
  <c r="AC12" i="1"/>
  <c r="AC13" i="1"/>
  <c r="AC26" i="1"/>
  <c r="AC34" i="1"/>
  <c r="AC10" i="1"/>
  <c r="AC35" i="1"/>
  <c r="AC6" i="1"/>
  <c r="AC7" i="1"/>
  <c r="AC43" i="1"/>
  <c r="AC17" i="1"/>
  <c r="AC42" i="1"/>
  <c r="AC5" i="1"/>
  <c r="AC2" i="1"/>
  <c r="AC14" i="1"/>
  <c r="AC18" i="1"/>
  <c r="AC31" i="1"/>
  <c r="AC20" i="1"/>
  <c r="AC27" i="1"/>
  <c r="AC38" i="1"/>
  <c r="AC24" i="1"/>
  <c r="AC15" i="1"/>
  <c r="AC4" i="1"/>
  <c r="AC30" i="1"/>
  <c r="AC3" i="1"/>
  <c r="AC8" i="1"/>
  <c r="AC32" i="1"/>
  <c r="AC9" i="1"/>
  <c r="AC22" i="1"/>
  <c r="AC37" i="1"/>
  <c r="AC19" i="1"/>
  <c r="AC28" i="1"/>
  <c r="AC41" i="1"/>
  <c r="C12" i="46" l="1"/>
  <c r="C13" i="46"/>
  <c r="C11" i="46"/>
  <c r="C14" i="46"/>
  <c r="C73" i="14"/>
  <c r="B42" i="50"/>
  <c r="B55" i="50"/>
  <c r="B20" i="50"/>
  <c r="B34" i="50"/>
  <c r="B45" i="50"/>
  <c r="B56" i="50"/>
  <c r="B24" i="50"/>
  <c r="B35" i="50"/>
  <c r="B46" i="50"/>
  <c r="B57" i="50"/>
  <c r="B11" i="50"/>
  <c r="B25" i="50"/>
  <c r="B36" i="50"/>
  <c r="B47" i="50"/>
  <c r="B58" i="50"/>
  <c r="B12" i="50"/>
  <c r="B26" i="50"/>
  <c r="B40" i="50"/>
  <c r="B48" i="50"/>
  <c r="B59" i="50"/>
  <c r="B13" i="50"/>
  <c r="B27" i="50"/>
  <c r="B41" i="50"/>
  <c r="B49" i="50"/>
  <c r="B60" i="50"/>
  <c r="B14" i="50"/>
  <c r="B31" i="50"/>
  <c r="B50" i="50"/>
  <c r="B7" i="50"/>
  <c r="B15" i="50"/>
  <c r="B32" i="50"/>
  <c r="B43" i="50"/>
  <c r="B51" i="50"/>
  <c r="B19" i="50"/>
  <c r="B33" i="50"/>
  <c r="B44" i="50"/>
  <c r="C63" i="46"/>
  <c r="C64" i="46"/>
  <c r="C65" i="46"/>
  <c r="C66" i="46"/>
  <c r="C67" i="46"/>
  <c r="C68" i="46"/>
  <c r="C30" i="14"/>
  <c r="C29" i="14"/>
  <c r="C20" i="46"/>
  <c r="C26" i="46"/>
  <c r="C27" i="46"/>
  <c r="C25" i="46"/>
  <c r="C24" i="46"/>
  <c r="C35" i="46"/>
  <c r="C56" i="46"/>
  <c r="C36" i="46"/>
  <c r="C49" i="46"/>
  <c r="C57" i="46"/>
  <c r="C50" i="46"/>
  <c r="C58" i="46"/>
  <c r="C51" i="46"/>
  <c r="C59" i="46"/>
  <c r="C48" i="46"/>
  <c r="C31" i="46"/>
  <c r="C52" i="46"/>
  <c r="C32" i="46"/>
  <c r="C53" i="46"/>
  <c r="C33" i="46"/>
  <c r="C54" i="46"/>
  <c r="C34" i="46"/>
  <c r="C55" i="46"/>
  <c r="C67" i="14"/>
  <c r="I253" i="20"/>
  <c r="I368" i="20"/>
  <c r="I377" i="20" s="1"/>
  <c r="I332" i="20"/>
  <c r="I327" i="20"/>
  <c r="I204" i="20"/>
  <c r="I213" i="20" s="1"/>
  <c r="C60" i="16" s="1"/>
  <c r="I47" i="20"/>
  <c r="I87" i="20"/>
  <c r="I169" i="20"/>
  <c r="I293" i="20"/>
  <c r="I292" i="20"/>
  <c r="I50" i="20"/>
  <c r="I82" i="20"/>
  <c r="I49" i="20"/>
  <c r="I89" i="20"/>
  <c r="I250" i="20"/>
  <c r="I88" i="20"/>
  <c r="I168" i="20"/>
  <c r="I210" i="20"/>
  <c r="I163" i="20"/>
  <c r="I286" i="20"/>
  <c r="I245" i="20"/>
  <c r="I123" i="20"/>
  <c r="I42" i="20"/>
  <c r="M119" i="20"/>
  <c r="L128" i="20" s="1"/>
  <c r="K38" i="20"/>
  <c r="J40" i="20"/>
  <c r="J49" i="20" s="1"/>
  <c r="C66" i="14"/>
  <c r="C58" i="14"/>
  <c r="C68" i="14"/>
  <c r="B8" i="14"/>
  <c r="C58" i="16"/>
  <c r="D148" i="16" s="1"/>
  <c r="C94" i="16"/>
  <c r="D163" i="16" s="1"/>
  <c r="C82" i="16"/>
  <c r="D158" i="16" s="1"/>
  <c r="C70" i="16"/>
  <c r="D153" i="16" s="1"/>
  <c r="C46" i="16"/>
  <c r="D143" i="16" s="1"/>
  <c r="C34" i="16"/>
  <c r="D138" i="16" s="1"/>
  <c r="R302" i="20"/>
  <c r="R303" i="20" s="1"/>
  <c r="P304" i="20"/>
  <c r="N304" i="20"/>
  <c r="N305" i="20" s="1"/>
  <c r="N302" i="20"/>
  <c r="N303" i="20" s="1"/>
  <c r="L143" i="20"/>
  <c r="P71" i="20"/>
  <c r="P72" i="20" s="1"/>
  <c r="N69" i="20"/>
  <c r="N70" i="20" s="1"/>
  <c r="R67" i="20"/>
  <c r="R68" i="20" s="1"/>
  <c r="L67" i="20"/>
  <c r="L68" i="20" s="1"/>
  <c r="P65" i="20"/>
  <c r="P66" i="20" s="1"/>
  <c r="N65" i="20"/>
  <c r="N66" i="20" s="1"/>
  <c r="L63" i="20"/>
  <c r="L64" i="20" s="1"/>
  <c r="R61" i="20"/>
  <c r="R62" i="20" s="1"/>
  <c r="P61" i="20"/>
  <c r="P62" i="20" s="1"/>
  <c r="N61" i="20"/>
  <c r="N62" i="20" s="1"/>
  <c r="R59" i="20"/>
  <c r="R60" i="20" s="1"/>
  <c r="P59" i="20"/>
  <c r="P60" i="20" s="1"/>
  <c r="L59" i="20"/>
  <c r="L60" i="20" s="1"/>
  <c r="L23" i="20"/>
  <c r="L24" i="20" s="1"/>
  <c r="L19" i="20"/>
  <c r="L20" i="20" s="1"/>
  <c r="R27" i="20"/>
  <c r="R28" i="20" s="1"/>
  <c r="R21" i="20"/>
  <c r="R19" i="20"/>
  <c r="R20" i="20" s="1"/>
  <c r="P19" i="20"/>
  <c r="P20" i="20" s="1"/>
  <c r="P21" i="20"/>
  <c r="P22" i="20" s="1"/>
  <c r="P31" i="20"/>
  <c r="P32" i="20" s="1"/>
  <c r="P25" i="20"/>
  <c r="P26" i="20" s="1"/>
  <c r="N25" i="20"/>
  <c r="N26" i="20" s="1"/>
  <c r="N21" i="20"/>
  <c r="N22" i="20" s="1"/>
  <c r="N29" i="20"/>
  <c r="N30" i="20" s="1"/>
  <c r="L27" i="20"/>
  <c r="L28" i="20" s="1"/>
  <c r="C25" i="14"/>
  <c r="B12" i="14"/>
  <c r="B11" i="14"/>
  <c r="B354" i="20"/>
  <c r="B360" i="20" s="1"/>
  <c r="B367" i="20" s="1"/>
  <c r="B312" i="20"/>
  <c r="B315" i="20" s="1"/>
  <c r="B271" i="20"/>
  <c r="B274" i="20" s="1"/>
  <c r="B282" i="20" s="1"/>
  <c r="B189" i="20"/>
  <c r="B230" i="20"/>
  <c r="B235" i="20" s="1"/>
  <c r="B242" i="20" s="1"/>
  <c r="B148" i="20"/>
  <c r="B153" i="20" s="1"/>
  <c r="B108" i="20"/>
  <c r="B113" i="20" s="1"/>
  <c r="B68" i="20"/>
  <c r="B72" i="20" s="1"/>
  <c r="B28" i="20"/>
  <c r="B32" i="20" s="1"/>
  <c r="B14" i="14"/>
  <c r="B13" i="14"/>
  <c r="B15" i="14"/>
  <c r="B16" i="14"/>
  <c r="B45" i="15"/>
  <c r="B36" i="15"/>
  <c r="B41" i="15"/>
  <c r="B40" i="15"/>
  <c r="B39" i="15"/>
  <c r="B38" i="15"/>
  <c r="B37" i="15"/>
  <c r="C24" i="14"/>
  <c r="C11" i="50" l="1"/>
  <c r="C14" i="50"/>
  <c r="C15" i="50"/>
  <c r="C12" i="50"/>
  <c r="C13" i="50"/>
  <c r="C55" i="50"/>
  <c r="C35" i="50"/>
  <c r="C58" i="50"/>
  <c r="C19" i="50"/>
  <c r="C51" i="50"/>
  <c r="C60" i="50"/>
  <c r="C26" i="50"/>
  <c r="C59" i="50"/>
  <c r="C33" i="50"/>
  <c r="C56" i="50"/>
  <c r="C49" i="50"/>
  <c r="C41" i="50"/>
  <c r="C43" i="50"/>
  <c r="C36" i="50"/>
  <c r="C32" i="50"/>
  <c r="C42" i="50"/>
  <c r="C46" i="50"/>
  <c r="C44" i="50"/>
  <c r="C25" i="50"/>
  <c r="C47" i="50"/>
  <c r="C24" i="50"/>
  <c r="C27" i="50"/>
  <c r="C48" i="50"/>
  <c r="C20" i="50"/>
  <c r="C40" i="50"/>
  <c r="C57" i="50"/>
  <c r="C34" i="50"/>
  <c r="C31" i="50"/>
  <c r="C45" i="50"/>
  <c r="C50" i="50"/>
  <c r="I336" i="20"/>
  <c r="C108" i="16"/>
  <c r="I51" i="20"/>
  <c r="I132" i="20"/>
  <c r="C36" i="16" s="1"/>
  <c r="I254" i="20"/>
  <c r="C72" i="16" s="1"/>
  <c r="I295" i="20"/>
  <c r="C84" i="16" s="1"/>
  <c r="I172" i="20"/>
  <c r="C48" i="16" s="1"/>
  <c r="I91" i="20"/>
  <c r="C24" i="16" s="1"/>
  <c r="J41" i="20"/>
  <c r="S241" i="20"/>
  <c r="Q282" i="20"/>
  <c r="P38" i="20"/>
  <c r="Q40" i="20"/>
  <c r="M364" i="20"/>
  <c r="T120" i="20"/>
  <c r="S40" i="20"/>
  <c r="O49" i="20" s="1"/>
  <c r="Q78" i="20"/>
  <c r="T78" i="20"/>
  <c r="T282" i="20"/>
  <c r="R202" i="20"/>
  <c r="Q120" i="20"/>
  <c r="J120" i="20"/>
  <c r="S325" i="20"/>
  <c r="J122" i="20"/>
  <c r="P364" i="20"/>
  <c r="T38" i="20"/>
  <c r="T283" i="20"/>
  <c r="T242" i="20"/>
  <c r="J282" i="20"/>
  <c r="M41" i="20"/>
  <c r="P120" i="20"/>
  <c r="R364" i="20"/>
  <c r="R121" i="20"/>
  <c r="R41" i="20"/>
  <c r="S121" i="20"/>
  <c r="N282" i="20"/>
  <c r="S366" i="20"/>
  <c r="N41" i="20"/>
  <c r="T39" i="20"/>
  <c r="K122" i="20"/>
  <c r="K131" i="20" s="1"/>
  <c r="T121" i="20"/>
  <c r="R324" i="20"/>
  <c r="T365" i="20"/>
  <c r="O39" i="20"/>
  <c r="R367" i="20"/>
  <c r="O38" i="20"/>
  <c r="T41" i="20"/>
  <c r="M122" i="20"/>
  <c r="P241" i="20"/>
  <c r="S324" i="20"/>
  <c r="T366" i="20"/>
  <c r="S326" i="20"/>
  <c r="R38" i="20"/>
  <c r="R79" i="20"/>
  <c r="P122" i="20"/>
  <c r="Q243" i="20"/>
  <c r="T241" i="20"/>
  <c r="P161" i="20"/>
  <c r="N121" i="20"/>
  <c r="L130" i="20" s="1"/>
  <c r="N78" i="20"/>
  <c r="L121" i="20"/>
  <c r="R39" i="20"/>
  <c r="R80" i="20"/>
  <c r="Q122" i="20"/>
  <c r="S201" i="20"/>
  <c r="O364" i="20"/>
  <c r="O241" i="20"/>
  <c r="T202" i="20"/>
  <c r="M202" i="20"/>
  <c r="M40" i="20"/>
  <c r="Q38" i="20"/>
  <c r="S39" i="20"/>
  <c r="P78" i="20"/>
  <c r="T80" i="20"/>
  <c r="O122" i="20"/>
  <c r="S120" i="20"/>
  <c r="R241" i="20"/>
  <c r="P282" i="20"/>
  <c r="Q324" i="20"/>
  <c r="L364" i="20"/>
  <c r="S365" i="20"/>
  <c r="N38" i="20"/>
  <c r="Q41" i="20"/>
  <c r="S41" i="20"/>
  <c r="R78" i="20"/>
  <c r="J121" i="20"/>
  <c r="P121" i="20"/>
  <c r="S122" i="20"/>
  <c r="R282" i="20"/>
  <c r="R325" i="20"/>
  <c r="N364" i="20"/>
  <c r="T364" i="20"/>
  <c r="P79" i="20"/>
  <c r="N88" i="20" s="1"/>
  <c r="K201" i="20"/>
  <c r="P159" i="20"/>
  <c r="L41" i="20"/>
  <c r="O41" i="20"/>
  <c r="M50" i="20" s="1"/>
  <c r="R40" i="20"/>
  <c r="T40" i="20"/>
  <c r="S78" i="20"/>
  <c r="L122" i="20"/>
  <c r="R120" i="20"/>
  <c r="T122" i="20"/>
  <c r="S202" i="20"/>
  <c r="T284" i="20"/>
  <c r="T324" i="20"/>
  <c r="Q364" i="20"/>
  <c r="J365" i="20"/>
  <c r="J324" i="20"/>
  <c r="T325" i="20"/>
  <c r="R366" i="20"/>
  <c r="M38" i="20"/>
  <c r="P41" i="20"/>
  <c r="S38" i="20"/>
  <c r="O78" i="20"/>
  <c r="T79" i="20"/>
  <c r="N122" i="20"/>
  <c r="R122" i="20"/>
  <c r="Q241" i="20"/>
  <c r="N250" i="20" s="1"/>
  <c r="O282" i="20"/>
  <c r="J325" i="20"/>
  <c r="J364" i="20"/>
  <c r="S364" i="20"/>
  <c r="M284" i="20"/>
  <c r="P366" i="20"/>
  <c r="O121" i="20"/>
  <c r="N284" i="20"/>
  <c r="J243" i="20"/>
  <c r="N241" i="20"/>
  <c r="Q202" i="20"/>
  <c r="N120" i="20"/>
  <c r="L38" i="20"/>
  <c r="M121" i="20"/>
  <c r="S119" i="20"/>
  <c r="J161" i="20"/>
  <c r="R161" i="20"/>
  <c r="R159" i="20"/>
  <c r="J80" i="20"/>
  <c r="O243" i="20"/>
  <c r="K282" i="20"/>
  <c r="L39" i="20"/>
  <c r="L159" i="20"/>
  <c r="T159" i="20"/>
  <c r="P325" i="20"/>
  <c r="L79" i="20"/>
  <c r="T162" i="20"/>
  <c r="M78" i="20"/>
  <c r="L40" i="20"/>
  <c r="Q119" i="20"/>
  <c r="L161" i="20"/>
  <c r="T161" i="20"/>
  <c r="K41" i="20"/>
  <c r="J159" i="20"/>
  <c r="T285" i="20"/>
  <c r="N80" i="20"/>
  <c r="L284" i="20"/>
  <c r="M243" i="20"/>
  <c r="P80" i="20"/>
  <c r="K241" i="20"/>
  <c r="K121" i="20"/>
  <c r="L81" i="20"/>
  <c r="K119" i="20"/>
  <c r="Q121" i="20"/>
  <c r="N159" i="20"/>
  <c r="J241" i="20"/>
  <c r="T243" i="20"/>
  <c r="S282" i="20"/>
  <c r="Q325" i="20"/>
  <c r="K364" i="20"/>
  <c r="R365" i="20"/>
  <c r="N79" i="20"/>
  <c r="J79" i="20"/>
  <c r="S200" i="20"/>
  <c r="M39" i="20"/>
  <c r="O119" i="20"/>
  <c r="N161" i="20"/>
  <c r="J78" i="20"/>
  <c r="M241" i="20"/>
  <c r="J200" i="20"/>
  <c r="L200" i="20"/>
  <c r="N200" i="20"/>
  <c r="P200" i="20"/>
  <c r="R200" i="20"/>
  <c r="T201" i="20"/>
  <c r="K284" i="20"/>
  <c r="P283" i="20"/>
  <c r="R284" i="20"/>
  <c r="L323" i="20"/>
  <c r="N324" i="20"/>
  <c r="S323" i="20"/>
  <c r="L367" i="20"/>
  <c r="O366" i="20"/>
  <c r="T367" i="20"/>
  <c r="L78" i="20"/>
  <c r="Q365" i="20"/>
  <c r="M365" i="20"/>
  <c r="Q39" i="20"/>
  <c r="K120" i="20"/>
  <c r="M120" i="20"/>
  <c r="O120" i="20"/>
  <c r="J160" i="20"/>
  <c r="L160" i="20"/>
  <c r="N160" i="20"/>
  <c r="P160" i="20"/>
  <c r="R160" i="20"/>
  <c r="T160" i="20"/>
  <c r="K242" i="20"/>
  <c r="M242" i="20"/>
  <c r="O242" i="20"/>
  <c r="Q242" i="20"/>
  <c r="S242" i="20"/>
  <c r="J201" i="20"/>
  <c r="L201" i="20"/>
  <c r="N201" i="20"/>
  <c r="P201" i="20"/>
  <c r="R201" i="20"/>
  <c r="N283" i="20"/>
  <c r="P284" i="20"/>
  <c r="R285" i="20"/>
  <c r="J323" i="20"/>
  <c r="L324" i="20"/>
  <c r="N325" i="20"/>
  <c r="Q323" i="20"/>
  <c r="J366" i="20"/>
  <c r="K39" i="20"/>
  <c r="S367" i="20"/>
  <c r="Q367" i="20"/>
  <c r="O367" i="20"/>
  <c r="M376" i="20" s="1"/>
  <c r="M367" i="20"/>
  <c r="K367" i="20"/>
  <c r="K376" i="20" s="1"/>
  <c r="T203" i="20"/>
  <c r="R203" i="20"/>
  <c r="S243" i="20"/>
  <c r="J202" i="20"/>
  <c r="L202" i="20"/>
  <c r="N202" i="20"/>
  <c r="P202" i="20"/>
  <c r="L283" i="20"/>
  <c r="P285" i="20"/>
  <c r="L325" i="20"/>
  <c r="O323" i="20"/>
  <c r="J367" i="20"/>
  <c r="M366" i="20"/>
  <c r="J81" i="20"/>
  <c r="N81" i="20"/>
  <c r="L90" i="20" s="1"/>
  <c r="P81" i="20"/>
  <c r="R81" i="20"/>
  <c r="T81" i="20"/>
  <c r="J162" i="20"/>
  <c r="L162" i="20"/>
  <c r="N162" i="20"/>
  <c r="P162" i="20"/>
  <c r="R162" i="20"/>
  <c r="K244" i="20"/>
  <c r="K253" i="20" s="1"/>
  <c r="M244" i="20"/>
  <c r="O244" i="20"/>
  <c r="Q244" i="20"/>
  <c r="S244" i="20"/>
  <c r="N253" i="20" s="1"/>
  <c r="J203" i="20"/>
  <c r="L203" i="20"/>
  <c r="N203" i="20"/>
  <c r="P203" i="20"/>
  <c r="M212" i="20" s="1"/>
  <c r="J283" i="20"/>
  <c r="N285" i="20"/>
  <c r="S283" i="20"/>
  <c r="M323" i="20"/>
  <c r="O324" i="20"/>
  <c r="P367" i="20"/>
  <c r="T326" i="20"/>
  <c r="R326" i="20"/>
  <c r="P326" i="20"/>
  <c r="N326" i="20"/>
  <c r="L326" i="20"/>
  <c r="J326" i="20"/>
  <c r="K365" i="20"/>
  <c r="K374" i="20" s="1"/>
  <c r="P365" i="20"/>
  <c r="K78" i="20"/>
  <c r="J119" i="20"/>
  <c r="L119" i="20"/>
  <c r="N119" i="20"/>
  <c r="P119" i="20"/>
  <c r="R119" i="20"/>
  <c r="T119" i="20"/>
  <c r="K159" i="20"/>
  <c r="M159" i="20"/>
  <c r="O159" i="20"/>
  <c r="Q159" i="20"/>
  <c r="S159" i="20"/>
  <c r="L241" i="20"/>
  <c r="K200" i="20"/>
  <c r="M200" i="20"/>
  <c r="O200" i="20"/>
  <c r="Q200" i="20"/>
  <c r="J284" i="20"/>
  <c r="L285" i="20"/>
  <c r="Q283" i="20"/>
  <c r="S284" i="20"/>
  <c r="K323" i="20"/>
  <c r="M324" i="20"/>
  <c r="M333" i="20" s="1"/>
  <c r="O325" i="20"/>
  <c r="Q326" i="20"/>
  <c r="T323" i="20"/>
  <c r="K366" i="20"/>
  <c r="N365" i="20"/>
  <c r="K243" i="20"/>
  <c r="S285" i="20"/>
  <c r="N294" i="20" s="1"/>
  <c r="Q285" i="20"/>
  <c r="O285" i="20"/>
  <c r="M285" i="20"/>
  <c r="K285" i="20"/>
  <c r="K294" i="20" s="1"/>
  <c r="K40" i="20"/>
  <c r="J39" i="20"/>
  <c r="N39" i="20"/>
  <c r="P39" i="20"/>
  <c r="K79" i="20"/>
  <c r="M79" i="20"/>
  <c r="O79" i="20"/>
  <c r="Q79" i="20"/>
  <c r="S79" i="20"/>
  <c r="L120" i="20"/>
  <c r="K160" i="20"/>
  <c r="K169" i="20" s="1"/>
  <c r="M160" i="20"/>
  <c r="O160" i="20"/>
  <c r="Q160" i="20"/>
  <c r="S160" i="20"/>
  <c r="J242" i="20"/>
  <c r="L242" i="20"/>
  <c r="N242" i="20"/>
  <c r="P242" i="20"/>
  <c r="R242" i="20"/>
  <c r="M201" i="20"/>
  <c r="O201" i="20"/>
  <c r="Q201" i="20"/>
  <c r="J285" i="20"/>
  <c r="M282" i="20"/>
  <c r="O283" i="20"/>
  <c r="Q284" i="20"/>
  <c r="K324" i="20"/>
  <c r="M325" i="20"/>
  <c r="O326" i="20"/>
  <c r="R323" i="20"/>
  <c r="N366" i="20"/>
  <c r="Q366" i="20"/>
  <c r="O365" i="20"/>
  <c r="N40" i="20"/>
  <c r="P40" i="20"/>
  <c r="K80" i="20"/>
  <c r="M80" i="20"/>
  <c r="O80" i="20"/>
  <c r="Q80" i="20"/>
  <c r="S80" i="20"/>
  <c r="O89" i="20" s="1"/>
  <c r="O91" i="20" s="1"/>
  <c r="K161" i="20"/>
  <c r="K170" i="20" s="1"/>
  <c r="M161" i="20"/>
  <c r="O161" i="20"/>
  <c r="Q161" i="20"/>
  <c r="S161" i="20"/>
  <c r="L243" i="20"/>
  <c r="N243" i="20"/>
  <c r="P243" i="20"/>
  <c r="R243" i="20"/>
  <c r="K202" i="20"/>
  <c r="K211" i="20" s="1"/>
  <c r="O202" i="20"/>
  <c r="S203" i="20"/>
  <c r="M283" i="20"/>
  <c r="O284" i="20"/>
  <c r="K325" i="20"/>
  <c r="K334" i="20" s="1"/>
  <c r="M326" i="20"/>
  <c r="P323" i="20"/>
  <c r="L365" i="20"/>
  <c r="N367" i="20"/>
  <c r="O40" i="20"/>
  <c r="L80" i="20"/>
  <c r="K81" i="20"/>
  <c r="M81" i="20"/>
  <c r="O81" i="20"/>
  <c r="Q81" i="20"/>
  <c r="S81" i="20"/>
  <c r="K162" i="20"/>
  <c r="K171" i="20" s="1"/>
  <c r="M162" i="20"/>
  <c r="O162" i="20"/>
  <c r="Q162" i="20"/>
  <c r="S162" i="20"/>
  <c r="J244" i="20"/>
  <c r="L244" i="20"/>
  <c r="N244" i="20"/>
  <c r="P244" i="20"/>
  <c r="M253" i="20" s="1"/>
  <c r="R244" i="20"/>
  <c r="T244" i="20"/>
  <c r="K203" i="20"/>
  <c r="K212" i="20" s="1"/>
  <c r="M203" i="20"/>
  <c r="O203" i="20"/>
  <c r="Q203" i="20"/>
  <c r="T200" i="20"/>
  <c r="K283" i="20"/>
  <c r="R283" i="20"/>
  <c r="K326" i="20"/>
  <c r="K335" i="20" s="1"/>
  <c r="N323" i="20"/>
  <c r="P324" i="20"/>
  <c r="L366" i="20"/>
  <c r="B31" i="20"/>
  <c r="B38" i="20" s="1"/>
  <c r="C32" i="20"/>
  <c r="F32" i="20"/>
  <c r="F39" i="20" s="1"/>
  <c r="E32" i="20"/>
  <c r="E39" i="20" s="1"/>
  <c r="B39" i="20"/>
  <c r="D32" i="20"/>
  <c r="D39" i="20" s="1"/>
  <c r="D113" i="20"/>
  <c r="D121" i="20" s="1"/>
  <c r="P104" i="20" s="1"/>
  <c r="P105" i="20" s="1"/>
  <c r="C113" i="20"/>
  <c r="C121" i="20" s="1"/>
  <c r="P100" i="20" s="1"/>
  <c r="P101" i="20" s="1"/>
  <c r="B121" i="20"/>
  <c r="F113" i="20"/>
  <c r="F121" i="20" s="1"/>
  <c r="E113" i="20"/>
  <c r="E121" i="20" s="1"/>
  <c r="P108" i="20" s="1"/>
  <c r="P109" i="20" s="1"/>
  <c r="F235" i="20"/>
  <c r="E235" i="20"/>
  <c r="D235" i="20"/>
  <c r="D242" i="20" s="1"/>
  <c r="P226" i="20" s="1"/>
  <c r="P227" i="20" s="1"/>
  <c r="C235" i="20"/>
  <c r="C242" i="20" s="1"/>
  <c r="P222" i="20" s="1"/>
  <c r="P223" i="20" s="1"/>
  <c r="F72" i="20"/>
  <c r="F79" i="20" s="1"/>
  <c r="B79" i="20"/>
  <c r="D72" i="20"/>
  <c r="D79" i="20" s="1"/>
  <c r="C72" i="20"/>
  <c r="C79" i="20" s="1"/>
  <c r="N57" i="20" s="1"/>
  <c r="N58" i="20" s="1"/>
  <c r="E72" i="20"/>
  <c r="E79" i="20" s="1"/>
  <c r="C153" i="20"/>
  <c r="C161" i="20" s="1"/>
  <c r="P138" i="20" s="1"/>
  <c r="P139" i="20" s="1"/>
  <c r="B161" i="20"/>
  <c r="F153" i="20"/>
  <c r="F161" i="20" s="1"/>
  <c r="P150" i="20" s="1"/>
  <c r="P151" i="20" s="1"/>
  <c r="E153" i="20"/>
  <c r="E161" i="20" s="1"/>
  <c r="P146" i="20" s="1"/>
  <c r="P147" i="20" s="1"/>
  <c r="D153" i="20"/>
  <c r="D161" i="20" s="1"/>
  <c r="P142" i="20" s="1"/>
  <c r="P143" i="20" s="1"/>
  <c r="B112" i="20"/>
  <c r="B152" i="20"/>
  <c r="B71" i="20"/>
  <c r="B114" i="20"/>
  <c r="B234" i="20"/>
  <c r="B241" i="20" s="1"/>
  <c r="B34" i="20"/>
  <c r="B74" i="20"/>
  <c r="B33" i="20"/>
  <c r="B151" i="20"/>
  <c r="B236" i="20"/>
  <c r="B243" i="20" s="1"/>
  <c r="B111" i="20"/>
  <c r="B154" i="20"/>
  <c r="B73" i="20"/>
  <c r="B233" i="20"/>
  <c r="B240" i="20" s="1"/>
  <c r="B195" i="20"/>
  <c r="B203" i="20" s="1"/>
  <c r="B194" i="20"/>
  <c r="B202" i="20" s="1"/>
  <c r="B193" i="20"/>
  <c r="B201" i="20" s="1"/>
  <c r="B192" i="20"/>
  <c r="B200" i="20" s="1"/>
  <c r="C274" i="20"/>
  <c r="C282" i="20" s="1"/>
  <c r="L263" i="20" s="1"/>
  <c r="L264" i="20" s="1"/>
  <c r="F274" i="20"/>
  <c r="E274" i="20"/>
  <c r="D274" i="20"/>
  <c r="D282" i="20" s="1"/>
  <c r="F360" i="20"/>
  <c r="F367" i="20" s="1"/>
  <c r="R355" i="20" s="1"/>
  <c r="R356" i="20" s="1"/>
  <c r="E360" i="20"/>
  <c r="E367" i="20" s="1"/>
  <c r="R351" i="20" s="1"/>
  <c r="R352" i="20" s="1"/>
  <c r="D360" i="20"/>
  <c r="D367" i="20" s="1"/>
  <c r="R347" i="20" s="1"/>
  <c r="R348" i="20" s="1"/>
  <c r="C360" i="20"/>
  <c r="C367" i="20" s="1"/>
  <c r="R343" i="20" s="1"/>
  <c r="R344" i="20" s="1"/>
  <c r="B323" i="20"/>
  <c r="F315" i="20"/>
  <c r="F323" i="20" s="1"/>
  <c r="L310" i="20" s="1"/>
  <c r="L311" i="20" s="1"/>
  <c r="E315" i="20"/>
  <c r="E323" i="20" s="1"/>
  <c r="L306" i="20" s="1"/>
  <c r="L307" i="20" s="1"/>
  <c r="D315" i="20"/>
  <c r="D323" i="20" s="1"/>
  <c r="L304" i="20" s="1"/>
  <c r="L305" i="20" s="1"/>
  <c r="C315" i="20"/>
  <c r="C323" i="20" s="1"/>
  <c r="L302" i="20" s="1"/>
  <c r="L303" i="20" s="1"/>
  <c r="B276" i="20"/>
  <c r="B284" i="20" s="1"/>
  <c r="B357" i="20"/>
  <c r="B364" i="20" s="1"/>
  <c r="B317" i="20"/>
  <c r="B359" i="20"/>
  <c r="B366" i="20" s="1"/>
  <c r="B275" i="20"/>
  <c r="B283" i="20" s="1"/>
  <c r="B316" i="20"/>
  <c r="B277" i="20"/>
  <c r="B285" i="20" s="1"/>
  <c r="B358" i="20"/>
  <c r="B365" i="20" s="1"/>
  <c r="B318" i="20"/>
  <c r="B82" i="14"/>
  <c r="B83" i="14"/>
  <c r="B84" i="14"/>
  <c r="B75" i="14"/>
  <c r="C75" i="14" s="1"/>
  <c r="B76" i="14"/>
  <c r="C76" i="14" s="1"/>
  <c r="B77" i="14"/>
  <c r="C77" i="14" s="1"/>
  <c r="B78" i="14"/>
  <c r="C78" i="14" s="1"/>
  <c r="B6" i="15"/>
  <c r="C6" i="15" s="1"/>
  <c r="B5" i="15"/>
  <c r="C36" i="15" s="1"/>
  <c r="B46" i="15"/>
  <c r="B47" i="15"/>
  <c r="B48" i="15"/>
  <c r="B49" i="15"/>
  <c r="B50" i="15"/>
  <c r="B32" i="15"/>
  <c r="B31" i="15"/>
  <c r="B30" i="15"/>
  <c r="B29" i="15"/>
  <c r="B28" i="15"/>
  <c r="B23" i="15"/>
  <c r="B22" i="15"/>
  <c r="B21" i="15"/>
  <c r="B20" i="15"/>
  <c r="B19" i="15"/>
  <c r="B18" i="15"/>
  <c r="B12" i="15"/>
  <c r="B13" i="15"/>
  <c r="B14" i="15"/>
  <c r="B11" i="15"/>
  <c r="B34" i="14"/>
  <c r="B37" i="14"/>
  <c r="B36" i="14"/>
  <c r="B35" i="14"/>
  <c r="B42" i="14"/>
  <c r="B41" i="14"/>
  <c r="B46" i="14"/>
  <c r="B45" i="14"/>
  <c r="B43" i="14"/>
  <c r="B44" i="14"/>
  <c r="C21" i="14"/>
  <c r="C23" i="14"/>
  <c r="C20" i="14"/>
  <c r="C22" i="14"/>
  <c r="U282" i="20" l="1"/>
  <c r="K291" i="20"/>
  <c r="U241" i="20"/>
  <c r="U242" i="20"/>
  <c r="U244" i="20"/>
  <c r="U243" i="20"/>
  <c r="U323" i="20"/>
  <c r="U326" i="20"/>
  <c r="U367" i="20"/>
  <c r="U365" i="20"/>
  <c r="U364" i="20"/>
  <c r="U366" i="20"/>
  <c r="U325" i="20"/>
  <c r="C96" i="16"/>
  <c r="U324" i="20"/>
  <c r="U38" i="20"/>
  <c r="U285" i="20"/>
  <c r="U40" i="20"/>
  <c r="U119" i="20"/>
  <c r="U161" i="20"/>
  <c r="U200" i="20"/>
  <c r="U202" i="20"/>
  <c r="U284" i="20"/>
  <c r="U162" i="20"/>
  <c r="U160" i="20"/>
  <c r="U78" i="20"/>
  <c r="U80" i="20"/>
  <c r="U203" i="20"/>
  <c r="U39" i="20"/>
  <c r="U159" i="20"/>
  <c r="U41" i="20"/>
  <c r="U283" i="20"/>
  <c r="U122" i="20"/>
  <c r="C12" i="16"/>
  <c r="U121" i="20"/>
  <c r="U120" i="20"/>
  <c r="U81" i="20"/>
  <c r="U201" i="20"/>
  <c r="U79" i="20"/>
  <c r="N332" i="20"/>
  <c r="L332" i="20"/>
  <c r="K49" i="20"/>
  <c r="J292" i="20"/>
  <c r="J252" i="20"/>
  <c r="J131" i="20"/>
  <c r="P131" i="20" s="1"/>
  <c r="J47" i="20"/>
  <c r="J294" i="20"/>
  <c r="P294" i="20" s="1"/>
  <c r="J251" i="20"/>
  <c r="J293" i="20"/>
  <c r="J170" i="20"/>
  <c r="P170" i="20" s="1"/>
  <c r="J130" i="20"/>
  <c r="L49" i="20"/>
  <c r="J129" i="20"/>
  <c r="J333" i="20"/>
  <c r="J210" i="20"/>
  <c r="N49" i="20"/>
  <c r="J212" i="20"/>
  <c r="P212" i="20" s="1"/>
  <c r="J374" i="20"/>
  <c r="J88" i="20"/>
  <c r="M49" i="20"/>
  <c r="J335" i="20"/>
  <c r="P335" i="20" s="1"/>
  <c r="M332" i="20"/>
  <c r="J376" i="20"/>
  <c r="P376" i="20" s="1"/>
  <c r="J211" i="20"/>
  <c r="J169" i="20"/>
  <c r="J89" i="20"/>
  <c r="J253" i="20"/>
  <c r="P253" i="20" s="1"/>
  <c r="J171" i="20"/>
  <c r="P171" i="20" s="1"/>
  <c r="J48" i="20"/>
  <c r="J375" i="20"/>
  <c r="J334" i="20"/>
  <c r="J50" i="20"/>
  <c r="N327" i="20"/>
  <c r="R204" i="20"/>
  <c r="M327" i="20"/>
  <c r="T368" i="20"/>
  <c r="L327" i="20"/>
  <c r="T204" i="20"/>
  <c r="T327" i="20"/>
  <c r="S327" i="20"/>
  <c r="L368" i="20"/>
  <c r="R368" i="20"/>
  <c r="M368" i="20"/>
  <c r="S368" i="20"/>
  <c r="Q368" i="20"/>
  <c r="N368" i="20"/>
  <c r="K373" i="20"/>
  <c r="K368" i="20"/>
  <c r="J373" i="20"/>
  <c r="J368" i="20"/>
  <c r="O368" i="20"/>
  <c r="P368" i="20"/>
  <c r="R327" i="20"/>
  <c r="J332" i="20"/>
  <c r="J327" i="20"/>
  <c r="K327" i="20"/>
  <c r="P327" i="20"/>
  <c r="O327" i="20"/>
  <c r="Q327" i="20"/>
  <c r="N204" i="20"/>
  <c r="S204" i="20"/>
  <c r="Q245" i="20"/>
  <c r="Q204" i="20"/>
  <c r="O204" i="20"/>
  <c r="L204" i="20"/>
  <c r="P286" i="20"/>
  <c r="J291" i="20"/>
  <c r="J286" i="20"/>
  <c r="M204" i="20"/>
  <c r="K204" i="20"/>
  <c r="K286" i="20"/>
  <c r="N286" i="20"/>
  <c r="J209" i="20"/>
  <c r="J204" i="20"/>
  <c r="T286" i="20"/>
  <c r="Q286" i="20"/>
  <c r="L286" i="20"/>
  <c r="R286" i="20"/>
  <c r="M286" i="20"/>
  <c r="N209" i="20"/>
  <c r="P204" i="20"/>
  <c r="S286" i="20"/>
  <c r="O286" i="20"/>
  <c r="R245" i="20"/>
  <c r="J250" i="20"/>
  <c r="J245" i="20"/>
  <c r="M245" i="20"/>
  <c r="L245" i="20"/>
  <c r="O245" i="20"/>
  <c r="N245" i="20"/>
  <c r="T245" i="20"/>
  <c r="P245" i="20"/>
  <c r="S245" i="20"/>
  <c r="K245" i="20"/>
  <c r="M163" i="20"/>
  <c r="K82" i="20"/>
  <c r="T163" i="20"/>
  <c r="P163" i="20"/>
  <c r="N163" i="20"/>
  <c r="R123" i="20"/>
  <c r="K168" i="20"/>
  <c r="K163" i="20"/>
  <c r="L163" i="20"/>
  <c r="S163" i="20"/>
  <c r="Q163" i="20"/>
  <c r="J168" i="20"/>
  <c r="J163" i="20"/>
  <c r="R163" i="20"/>
  <c r="O163" i="20"/>
  <c r="N123" i="20"/>
  <c r="S123" i="20"/>
  <c r="T123" i="20"/>
  <c r="Q123" i="20"/>
  <c r="P123" i="20"/>
  <c r="K128" i="20"/>
  <c r="K123" i="20"/>
  <c r="M123" i="20"/>
  <c r="L123" i="20"/>
  <c r="O123" i="20"/>
  <c r="J128" i="20"/>
  <c r="J123" i="20"/>
  <c r="R82" i="20"/>
  <c r="L82" i="20"/>
  <c r="S82" i="20"/>
  <c r="N82" i="20"/>
  <c r="J87" i="20"/>
  <c r="J82" i="20"/>
  <c r="M82" i="20"/>
  <c r="O82" i="20"/>
  <c r="P82" i="20"/>
  <c r="T82" i="20"/>
  <c r="Q82" i="20"/>
  <c r="J90" i="20"/>
  <c r="L265" i="20"/>
  <c r="L266" i="20" s="1"/>
  <c r="N265" i="20"/>
  <c r="N266" i="20" s="1"/>
  <c r="C69" i="14"/>
  <c r="C64" i="14"/>
  <c r="C63" i="14"/>
  <c r="N129" i="20"/>
  <c r="M87" i="20"/>
  <c r="K50" i="20"/>
  <c r="L50" i="20"/>
  <c r="S42" i="20"/>
  <c r="M129" i="20"/>
  <c r="L89" i="20"/>
  <c r="L129" i="20"/>
  <c r="L132" i="20" s="1"/>
  <c r="O48" i="20"/>
  <c r="K252" i="20"/>
  <c r="R42" i="20"/>
  <c r="N42" i="20"/>
  <c r="M251" i="20"/>
  <c r="L251" i="20"/>
  <c r="K89" i="20"/>
  <c r="K251" i="20"/>
  <c r="N251" i="20"/>
  <c r="M48" i="20"/>
  <c r="L333" i="20"/>
  <c r="M209" i="20"/>
  <c r="K90" i="20"/>
  <c r="K333" i="20"/>
  <c r="K130" i="20"/>
  <c r="M47" i="20"/>
  <c r="O42" i="20"/>
  <c r="M89" i="20"/>
  <c r="M130" i="20"/>
  <c r="T42" i="20"/>
  <c r="K332" i="20"/>
  <c r="K209" i="20"/>
  <c r="L42" i="20"/>
  <c r="N210" i="20"/>
  <c r="M88" i="20"/>
  <c r="K42" i="20"/>
  <c r="N89" i="20"/>
  <c r="C21" i="16" s="1"/>
  <c r="D132" i="16" s="1"/>
  <c r="K210" i="20"/>
  <c r="N211" i="20"/>
  <c r="O47" i="20"/>
  <c r="L209" i="20"/>
  <c r="N47" i="20"/>
  <c r="M42" i="20"/>
  <c r="P42" i="20"/>
  <c r="M210" i="20"/>
  <c r="K129" i="20"/>
  <c r="L252" i="20"/>
  <c r="M211" i="20"/>
  <c r="Q42" i="20"/>
  <c r="L88" i="20"/>
  <c r="N48" i="20"/>
  <c r="L210" i="20"/>
  <c r="L211" i="20"/>
  <c r="J42" i="20"/>
  <c r="C22" i="16"/>
  <c r="D133" i="16" s="1"/>
  <c r="K88" i="20"/>
  <c r="E282" i="20"/>
  <c r="F282" i="20"/>
  <c r="L275" i="20" s="1"/>
  <c r="L276" i="20" s="1"/>
  <c r="E242" i="20"/>
  <c r="P230" i="20" s="1"/>
  <c r="P231" i="20" s="1"/>
  <c r="N252" i="20" s="1"/>
  <c r="F242" i="20"/>
  <c r="C39" i="20"/>
  <c r="N17" i="20" s="1"/>
  <c r="N18" i="20" s="1"/>
  <c r="L48" i="20" s="1"/>
  <c r="F275" i="20"/>
  <c r="E275" i="20"/>
  <c r="E283" i="20" s="1"/>
  <c r="D275" i="20"/>
  <c r="D283" i="20" s="1"/>
  <c r="C275" i="20"/>
  <c r="C283" i="20" s="1"/>
  <c r="N263" i="20" s="1"/>
  <c r="N264" i="20" s="1"/>
  <c r="D233" i="20"/>
  <c r="C233" i="20"/>
  <c r="C240" i="20" s="1"/>
  <c r="L220" i="20" s="1"/>
  <c r="L221" i="20" s="1"/>
  <c r="F233" i="20"/>
  <c r="E233" i="20"/>
  <c r="F359" i="20"/>
  <c r="F366" i="20" s="1"/>
  <c r="P355" i="20" s="1"/>
  <c r="P356" i="20" s="1"/>
  <c r="E359" i="20"/>
  <c r="E366" i="20" s="1"/>
  <c r="P349" i="20" s="1"/>
  <c r="P350" i="20" s="1"/>
  <c r="N375" i="20" s="1"/>
  <c r="D359" i="20"/>
  <c r="D366" i="20" s="1"/>
  <c r="P345" i="20" s="1"/>
  <c r="P346" i="20" s="1"/>
  <c r="C359" i="20"/>
  <c r="C366" i="20" s="1"/>
  <c r="P343" i="20" s="1"/>
  <c r="P344" i="20" s="1"/>
  <c r="E73" i="20"/>
  <c r="E80" i="20" s="1"/>
  <c r="F73" i="20"/>
  <c r="D73" i="20"/>
  <c r="D80" i="20" s="1"/>
  <c r="C73" i="20"/>
  <c r="C80" i="20" s="1"/>
  <c r="B80" i="20"/>
  <c r="E236" i="20"/>
  <c r="E243" i="20" s="1"/>
  <c r="R232" i="20" s="1"/>
  <c r="R233" i="20" s="1"/>
  <c r="D236" i="20"/>
  <c r="C236" i="20"/>
  <c r="C243" i="20" s="1"/>
  <c r="R222" i="20" s="1"/>
  <c r="R223" i="20" s="1"/>
  <c r="F236" i="20"/>
  <c r="F112" i="20"/>
  <c r="F120" i="20" s="1"/>
  <c r="E112" i="20"/>
  <c r="E120" i="20" s="1"/>
  <c r="B120" i="20"/>
  <c r="D112" i="20"/>
  <c r="D120" i="20" s="1"/>
  <c r="C112" i="20"/>
  <c r="C120" i="20" s="1"/>
  <c r="E151" i="20"/>
  <c r="E159" i="20" s="1"/>
  <c r="L144" i="20" s="1"/>
  <c r="L145" i="20" s="1"/>
  <c r="D151" i="20"/>
  <c r="D159" i="20" s="1"/>
  <c r="L140" i="20" s="1"/>
  <c r="L141" i="20" s="1"/>
  <c r="C151" i="20"/>
  <c r="C159" i="20" s="1"/>
  <c r="L138" i="20" s="1"/>
  <c r="L139" i="20" s="1"/>
  <c r="B159" i="20"/>
  <c r="F151" i="20"/>
  <c r="F159" i="20" s="1"/>
  <c r="L148" i="20" s="1"/>
  <c r="L149" i="20" s="1"/>
  <c r="F357" i="20"/>
  <c r="F364" i="20" s="1"/>
  <c r="L351" i="20" s="1"/>
  <c r="L352" i="20" s="1"/>
  <c r="E357" i="20"/>
  <c r="E364" i="20" s="1"/>
  <c r="L347" i="20" s="1"/>
  <c r="L348" i="20" s="1"/>
  <c r="D357" i="20"/>
  <c r="D364" i="20" s="1"/>
  <c r="L345" i="20" s="1"/>
  <c r="L346" i="20" s="1"/>
  <c r="C357" i="20"/>
  <c r="C364" i="20" s="1"/>
  <c r="L343" i="20" s="1"/>
  <c r="L344" i="20" s="1"/>
  <c r="B119" i="20"/>
  <c r="F111" i="20"/>
  <c r="F119" i="20" s="1"/>
  <c r="L110" i="20" s="1"/>
  <c r="L111" i="20" s="1"/>
  <c r="E111" i="20"/>
  <c r="E119" i="20" s="1"/>
  <c r="L106" i="20" s="1"/>
  <c r="L107" i="20" s="1"/>
  <c r="D111" i="20"/>
  <c r="D119" i="20" s="1"/>
  <c r="L102" i="20" s="1"/>
  <c r="L103" i="20" s="1"/>
  <c r="C111" i="20"/>
  <c r="C119" i="20" s="1"/>
  <c r="L98" i="20" s="1"/>
  <c r="B81" i="20"/>
  <c r="F74" i="20"/>
  <c r="F81" i="20" s="1"/>
  <c r="E74" i="20"/>
  <c r="E81" i="20" s="1"/>
  <c r="D74" i="20"/>
  <c r="D81" i="20" s="1"/>
  <c r="C74" i="20"/>
  <c r="C81" i="20" s="1"/>
  <c r="F33" i="20"/>
  <c r="F40" i="20" s="1"/>
  <c r="E33" i="20"/>
  <c r="E40" i="20" s="1"/>
  <c r="D33" i="20"/>
  <c r="D40" i="20" s="1"/>
  <c r="C33" i="20"/>
  <c r="B40" i="20"/>
  <c r="C318" i="20"/>
  <c r="C326" i="20" s="1"/>
  <c r="B326" i="20"/>
  <c r="F318" i="20"/>
  <c r="F326" i="20" s="1"/>
  <c r="R314" i="20" s="1"/>
  <c r="R315" i="20" s="1"/>
  <c r="E318" i="20"/>
  <c r="E326" i="20" s="1"/>
  <c r="R308" i="20" s="1"/>
  <c r="R309" i="20" s="1"/>
  <c r="D318" i="20"/>
  <c r="D326" i="20" s="1"/>
  <c r="F276" i="20"/>
  <c r="E276" i="20"/>
  <c r="D276" i="20"/>
  <c r="D284" i="20" s="1"/>
  <c r="P267" i="20" s="1"/>
  <c r="P268" i="20" s="1"/>
  <c r="C276" i="20"/>
  <c r="C284" i="20" s="1"/>
  <c r="P263" i="20" s="1"/>
  <c r="P264" i="20" s="1"/>
  <c r="F31" i="20"/>
  <c r="F38" i="20" s="1"/>
  <c r="E31" i="20"/>
  <c r="E38" i="20" s="1"/>
  <c r="D31" i="20"/>
  <c r="D38" i="20" s="1"/>
  <c r="C31" i="20"/>
  <c r="D358" i="20"/>
  <c r="D365" i="20" s="1"/>
  <c r="N345" i="20" s="1"/>
  <c r="N346" i="20" s="1"/>
  <c r="C358" i="20"/>
  <c r="C365" i="20" s="1"/>
  <c r="N343" i="20" s="1"/>
  <c r="N344" i="20" s="1"/>
  <c r="F358" i="20"/>
  <c r="F365" i="20" s="1"/>
  <c r="N353" i="20" s="1"/>
  <c r="N354" i="20" s="1"/>
  <c r="O374" i="20" s="1"/>
  <c r="E358" i="20"/>
  <c r="E365" i="20" s="1"/>
  <c r="N349" i="20" s="1"/>
  <c r="N350" i="20" s="1"/>
  <c r="B41" i="20"/>
  <c r="F34" i="20"/>
  <c r="F41" i="20" s="1"/>
  <c r="E34" i="20"/>
  <c r="E41" i="20" s="1"/>
  <c r="D34" i="20"/>
  <c r="D41" i="20" s="1"/>
  <c r="C34" i="20"/>
  <c r="C41" i="20" s="1"/>
  <c r="F234" i="20"/>
  <c r="E234" i="20"/>
  <c r="E241" i="20" s="1"/>
  <c r="D234" i="20"/>
  <c r="D241" i="20" s="1"/>
  <c r="C234" i="20"/>
  <c r="C241" i="20" s="1"/>
  <c r="F317" i="20"/>
  <c r="F325" i="20" s="1"/>
  <c r="P312" i="20" s="1"/>
  <c r="P313" i="20" s="1"/>
  <c r="E317" i="20"/>
  <c r="E325" i="20" s="1"/>
  <c r="P308" i="20" s="1"/>
  <c r="P309" i="20" s="1"/>
  <c r="N334" i="20" s="1"/>
  <c r="D317" i="20"/>
  <c r="D325" i="20" s="1"/>
  <c r="C317" i="20"/>
  <c r="C325" i="20" s="1"/>
  <c r="P302" i="20" s="1"/>
  <c r="P303" i="20" s="1"/>
  <c r="B325" i="20"/>
  <c r="F154" i="20"/>
  <c r="F162" i="20" s="1"/>
  <c r="R152" i="20" s="1"/>
  <c r="R153" i="20" s="1"/>
  <c r="E154" i="20"/>
  <c r="E162" i="20" s="1"/>
  <c r="R146" i="20" s="1"/>
  <c r="R147" i="20" s="1"/>
  <c r="D154" i="20"/>
  <c r="D162" i="20" s="1"/>
  <c r="R142" i="20" s="1"/>
  <c r="R143" i="20" s="1"/>
  <c r="C154" i="20"/>
  <c r="C162" i="20" s="1"/>
  <c r="R140" i="20" s="1"/>
  <c r="R141" i="20" s="1"/>
  <c r="B162" i="20"/>
  <c r="C193" i="20"/>
  <c r="C201" i="20" s="1"/>
  <c r="F193" i="20"/>
  <c r="E193" i="20"/>
  <c r="D193" i="20"/>
  <c r="D201" i="20" s="1"/>
  <c r="D277" i="20"/>
  <c r="D285" i="20" s="1"/>
  <c r="R267" i="20" s="1"/>
  <c r="R268" i="20" s="1"/>
  <c r="C277" i="20"/>
  <c r="C285" i="20" s="1"/>
  <c r="R263" i="20" s="1"/>
  <c r="R264" i="20" s="1"/>
  <c r="F277" i="20"/>
  <c r="E277" i="20"/>
  <c r="E285" i="20" s="1"/>
  <c r="R273" i="20" s="1"/>
  <c r="R274" i="20" s="1"/>
  <c r="D192" i="20"/>
  <c r="D200" i="20" s="1"/>
  <c r="C192" i="20"/>
  <c r="C200" i="20" s="1"/>
  <c r="F192" i="20"/>
  <c r="E192" i="20"/>
  <c r="E200" i="20" s="1"/>
  <c r="E194" i="20"/>
  <c r="D194" i="20"/>
  <c r="C194" i="20"/>
  <c r="C202" i="20" s="1"/>
  <c r="F194" i="20"/>
  <c r="F114" i="20"/>
  <c r="F122" i="20" s="1"/>
  <c r="E114" i="20"/>
  <c r="E122" i="20" s="1"/>
  <c r="R110" i="20" s="1"/>
  <c r="R111" i="20" s="1"/>
  <c r="D114" i="20"/>
  <c r="D122" i="20" s="1"/>
  <c r="R104" i="20" s="1"/>
  <c r="R105" i="20" s="1"/>
  <c r="C114" i="20"/>
  <c r="C122" i="20" s="1"/>
  <c r="R100" i="20" s="1"/>
  <c r="R101" i="20" s="1"/>
  <c r="B122" i="20"/>
  <c r="F195" i="20"/>
  <c r="C195" i="20"/>
  <c r="C203" i="20" s="1"/>
  <c r="E195" i="20"/>
  <c r="E203" i="20" s="1"/>
  <c r="D195" i="20"/>
  <c r="D203" i="20" s="1"/>
  <c r="B78" i="20"/>
  <c r="F71" i="20"/>
  <c r="F78" i="20" s="1"/>
  <c r="E71" i="20"/>
  <c r="E78" i="20" s="1"/>
  <c r="D71" i="20"/>
  <c r="D78" i="20" s="1"/>
  <c r="C71" i="20"/>
  <c r="C78" i="20" s="1"/>
  <c r="L57" i="20" s="1"/>
  <c r="F152" i="20"/>
  <c r="F160" i="20" s="1"/>
  <c r="N150" i="20" s="1"/>
  <c r="N151" i="20" s="1"/>
  <c r="B160" i="20"/>
  <c r="D152" i="20"/>
  <c r="D160" i="20" s="1"/>
  <c r="N140" i="20" s="1"/>
  <c r="N141" i="20" s="1"/>
  <c r="E152" i="20"/>
  <c r="E160" i="20" s="1"/>
  <c r="N144" i="20" s="1"/>
  <c r="N145" i="20" s="1"/>
  <c r="N169" i="20" s="1"/>
  <c r="C152" i="20"/>
  <c r="C160" i="20" s="1"/>
  <c r="N138" i="20" s="1"/>
  <c r="N139" i="20" s="1"/>
  <c r="E316" i="20"/>
  <c r="E324" i="20" s="1"/>
  <c r="N306" i="20" s="1"/>
  <c r="N307" i="20" s="1"/>
  <c r="B324" i="20"/>
  <c r="D316" i="20"/>
  <c r="D324" i="20" s="1"/>
  <c r="C316" i="20"/>
  <c r="C324" i="20" s="1"/>
  <c r="F316" i="20"/>
  <c r="F324" i="20" s="1"/>
  <c r="N310" i="20" s="1"/>
  <c r="N311" i="20" s="1"/>
  <c r="C84" i="14"/>
  <c r="C62" i="14"/>
  <c r="C43" i="14"/>
  <c r="C34" i="14"/>
  <c r="C60" i="14"/>
  <c r="C61" i="14"/>
  <c r="C65" i="14"/>
  <c r="C59" i="14"/>
  <c r="C83" i="14"/>
  <c r="C41" i="14"/>
  <c r="C82" i="14"/>
  <c r="C45" i="14"/>
  <c r="C42" i="14"/>
  <c r="C35" i="14"/>
  <c r="C46" i="14"/>
  <c r="C36" i="14"/>
  <c r="C44" i="14"/>
  <c r="C37" i="14"/>
  <c r="C41" i="15"/>
  <c r="C38" i="15"/>
  <c r="C40" i="15"/>
  <c r="C39" i="15"/>
  <c r="C45" i="15"/>
  <c r="C37" i="15"/>
  <c r="C29" i="15"/>
  <c r="C12" i="15"/>
  <c r="C13" i="15"/>
  <c r="C28" i="15"/>
  <c r="C46" i="15"/>
  <c r="C22" i="15"/>
  <c r="C32" i="15"/>
  <c r="C50" i="15"/>
  <c r="C14" i="15"/>
  <c r="C23" i="15"/>
  <c r="C47" i="15"/>
  <c r="C21" i="15"/>
  <c r="C49" i="15"/>
  <c r="C5" i="15"/>
  <c r="C11" i="15"/>
  <c r="C48" i="15"/>
  <c r="C18" i="15"/>
  <c r="C30" i="15"/>
  <c r="C19" i="15"/>
  <c r="C31" i="15"/>
  <c r="C20" i="15"/>
  <c r="L292" i="20" l="1"/>
  <c r="L291" i="20"/>
  <c r="U286" i="20"/>
  <c r="P332" i="20"/>
  <c r="P333" i="20"/>
  <c r="U327" i="20"/>
  <c r="U368" i="20"/>
  <c r="P373" i="20"/>
  <c r="P128" i="20"/>
  <c r="P50" i="20"/>
  <c r="U123" i="20"/>
  <c r="P49" i="20"/>
  <c r="P210" i="20"/>
  <c r="U82" i="20"/>
  <c r="P89" i="20"/>
  <c r="P251" i="20"/>
  <c r="U42" i="20"/>
  <c r="U245" i="20"/>
  <c r="P88" i="20"/>
  <c r="P90" i="20"/>
  <c r="P211" i="20"/>
  <c r="P209" i="20"/>
  <c r="P129" i="20"/>
  <c r="U163" i="20"/>
  <c r="N336" i="20"/>
  <c r="P168" i="20"/>
  <c r="U204" i="20"/>
  <c r="P130" i="20"/>
  <c r="K292" i="20"/>
  <c r="J254" i="20"/>
  <c r="C30" i="16"/>
  <c r="D134" i="16" s="1"/>
  <c r="J295" i="20"/>
  <c r="J51" i="20"/>
  <c r="J213" i="20"/>
  <c r="J377" i="20"/>
  <c r="J336" i="20"/>
  <c r="J172" i="20"/>
  <c r="C10" i="16"/>
  <c r="D128" i="16" s="1"/>
  <c r="J132" i="20"/>
  <c r="K336" i="20"/>
  <c r="C106" i="16"/>
  <c r="D168" i="16" s="1"/>
  <c r="O377" i="20"/>
  <c r="M213" i="20"/>
  <c r="L375" i="20"/>
  <c r="N213" i="20"/>
  <c r="K213" i="20"/>
  <c r="L213" i="20"/>
  <c r="N254" i="20"/>
  <c r="C45" i="16"/>
  <c r="D142" i="16" s="1"/>
  <c r="N172" i="20"/>
  <c r="C42" i="16"/>
  <c r="D139" i="16" s="1"/>
  <c r="K172" i="20"/>
  <c r="M132" i="20"/>
  <c r="K132" i="20"/>
  <c r="C33" i="16"/>
  <c r="D137" i="16" s="1"/>
  <c r="N132" i="20"/>
  <c r="M91" i="20"/>
  <c r="J91" i="20"/>
  <c r="N91" i="20"/>
  <c r="K375" i="20"/>
  <c r="C102" i="16" s="1"/>
  <c r="D164" i="16" s="1"/>
  <c r="N374" i="20"/>
  <c r="L293" i="20"/>
  <c r="M375" i="20"/>
  <c r="L374" i="20"/>
  <c r="N51" i="20"/>
  <c r="M169" i="20"/>
  <c r="R306" i="20"/>
  <c r="R307" i="20" s="1"/>
  <c r="P306" i="20"/>
  <c r="L169" i="20"/>
  <c r="K250" i="20"/>
  <c r="N269" i="20"/>
  <c r="M292" i="20" s="1"/>
  <c r="L269" i="20"/>
  <c r="M291" i="20" s="1"/>
  <c r="K48" i="20"/>
  <c r="P48" i="20" s="1"/>
  <c r="M252" i="20"/>
  <c r="P252" i="20" s="1"/>
  <c r="M374" i="20"/>
  <c r="K293" i="20"/>
  <c r="O51" i="20"/>
  <c r="M51" i="20"/>
  <c r="C32" i="16"/>
  <c r="D136" i="16" s="1"/>
  <c r="C31" i="16"/>
  <c r="D135" i="16" s="1"/>
  <c r="C69" i="16"/>
  <c r="D152" i="16" s="1"/>
  <c r="C57" i="16"/>
  <c r="D147" i="16" s="1"/>
  <c r="C8" i="16"/>
  <c r="D126" i="16" s="1"/>
  <c r="C9" i="16"/>
  <c r="D127" i="16" s="1"/>
  <c r="C93" i="16"/>
  <c r="D162" i="16" s="1"/>
  <c r="C54" i="16"/>
  <c r="D144" i="16" s="1"/>
  <c r="C90" i="16"/>
  <c r="D159" i="16" s="1"/>
  <c r="C55" i="16"/>
  <c r="D145" i="16" s="1"/>
  <c r="C56" i="16"/>
  <c r="D146" i="16" s="1"/>
  <c r="C20" i="16"/>
  <c r="D131" i="16" s="1"/>
  <c r="L99" i="20"/>
  <c r="L58" i="20"/>
  <c r="L87" i="20" s="1"/>
  <c r="L91" i="20" s="1"/>
  <c r="K87" i="20"/>
  <c r="K91" i="20" s="1"/>
  <c r="F283" i="20"/>
  <c r="N277" i="20" s="1"/>
  <c r="E284" i="20"/>
  <c r="P273" i="20" s="1"/>
  <c r="F284" i="20"/>
  <c r="F285" i="20"/>
  <c r="F203" i="20"/>
  <c r="D202" i="20"/>
  <c r="E202" i="20"/>
  <c r="F202" i="20"/>
  <c r="F201" i="20"/>
  <c r="F200" i="20"/>
  <c r="E201" i="20"/>
  <c r="D243" i="20"/>
  <c r="R226" i="20" s="1"/>
  <c r="R227" i="20" s="1"/>
  <c r="E240" i="20"/>
  <c r="L228" i="20" s="1"/>
  <c r="L229" i="20" s="1"/>
  <c r="F240" i="20"/>
  <c r="L232" i="20" s="1"/>
  <c r="L233" i="20" s="1"/>
  <c r="F241" i="20"/>
  <c r="F243" i="20"/>
  <c r="D240" i="20"/>
  <c r="L224" i="20" s="1"/>
  <c r="L225" i="20" s="1"/>
  <c r="M250" i="20" s="1"/>
  <c r="C38" i="20"/>
  <c r="L17" i="20" s="1"/>
  <c r="K47" i="20" s="1"/>
  <c r="C40" i="20"/>
  <c r="F80" i="20"/>
  <c r="B43" i="46" l="1"/>
  <c r="B44" i="46"/>
  <c r="B42" i="46"/>
  <c r="D57" i="16"/>
  <c r="E147" i="16" s="1"/>
  <c r="P374" i="20"/>
  <c r="C97" i="16"/>
  <c r="C109" i="16"/>
  <c r="P375" i="20"/>
  <c r="P169" i="20"/>
  <c r="C37" i="16"/>
  <c r="C38" i="16" s="1"/>
  <c r="P132" i="20"/>
  <c r="C13" i="16"/>
  <c r="P87" i="20"/>
  <c r="C49" i="16"/>
  <c r="C85" i="16"/>
  <c r="C25" i="16"/>
  <c r="P91" i="20"/>
  <c r="C73" i="16"/>
  <c r="C61" i="16"/>
  <c r="C62" i="16" s="1"/>
  <c r="P213" i="20"/>
  <c r="L270" i="20"/>
  <c r="N291" i="20" s="1"/>
  <c r="P291" i="20" s="1"/>
  <c r="B54" i="14"/>
  <c r="D30" i="16"/>
  <c r="E134" i="16" s="1"/>
  <c r="M377" i="20"/>
  <c r="K295" i="20"/>
  <c r="K377" i="20"/>
  <c r="C103" i="16"/>
  <c r="D165" i="16" s="1"/>
  <c r="L377" i="20"/>
  <c r="C105" i="16"/>
  <c r="D167" i="16" s="1"/>
  <c r="N377" i="20"/>
  <c r="L295" i="20"/>
  <c r="C66" i="16"/>
  <c r="D149" i="16" s="1"/>
  <c r="K254" i="20"/>
  <c r="M254" i="20"/>
  <c r="C43" i="16"/>
  <c r="D140" i="16" s="1"/>
  <c r="L172" i="20"/>
  <c r="C44" i="16"/>
  <c r="D141" i="16" s="1"/>
  <c r="M172" i="20"/>
  <c r="C68" i="16"/>
  <c r="D151" i="16" s="1"/>
  <c r="C104" i="16"/>
  <c r="D166" i="16" s="1"/>
  <c r="C78" i="16"/>
  <c r="D154" i="16" s="1"/>
  <c r="K51" i="20"/>
  <c r="C79" i="16"/>
  <c r="D155" i="16" s="1"/>
  <c r="L250" i="20"/>
  <c r="P250" i="20" s="1"/>
  <c r="C6" i="16"/>
  <c r="D124" i="16" s="1"/>
  <c r="N270" i="20"/>
  <c r="N292" i="20" s="1"/>
  <c r="P292" i="20" s="1"/>
  <c r="P274" i="20"/>
  <c r="N293" i="20" s="1"/>
  <c r="M293" i="20"/>
  <c r="P307" i="20"/>
  <c r="M334" i="20" s="1"/>
  <c r="L334" i="20"/>
  <c r="D54" i="16"/>
  <c r="E144" i="16" s="1"/>
  <c r="D58" i="16"/>
  <c r="E148" i="16" s="1"/>
  <c r="D56" i="16"/>
  <c r="E146" i="16" s="1"/>
  <c r="D55" i="16"/>
  <c r="E145" i="16" s="1"/>
  <c r="C18" i="16"/>
  <c r="D129" i="16" s="1"/>
  <c r="C19" i="16"/>
  <c r="D130" i="16" s="1"/>
  <c r="L18" i="20"/>
  <c r="L47" i="20" s="1"/>
  <c r="P47" i="20" s="1"/>
  <c r="B40" i="46" l="1"/>
  <c r="P293" i="20"/>
  <c r="P377" i="20"/>
  <c r="P334" i="20"/>
  <c r="P172" i="20"/>
  <c r="C50" i="16"/>
  <c r="B50" i="14"/>
  <c r="C26" i="16"/>
  <c r="C91" i="16"/>
  <c r="D160" i="16" s="1"/>
  <c r="L336" i="20"/>
  <c r="C92" i="16"/>
  <c r="D161" i="16" s="1"/>
  <c r="M336" i="20"/>
  <c r="N295" i="20"/>
  <c r="M295" i="20"/>
  <c r="C67" i="16"/>
  <c r="L254" i="20"/>
  <c r="P254" i="20" s="1"/>
  <c r="C81" i="16"/>
  <c r="D157" i="16" s="1"/>
  <c r="L51" i="20"/>
  <c r="P51" i="20" s="1"/>
  <c r="C80" i="16"/>
  <c r="D156" i="16" s="1"/>
  <c r="D150" i="16" l="1"/>
  <c r="B53" i="14"/>
  <c r="P295" i="20"/>
  <c r="P336" i="20"/>
  <c r="B52" i="14"/>
  <c r="C74" i="16"/>
  <c r="C98" i="16"/>
  <c r="C86" i="16"/>
  <c r="D92" i="16"/>
  <c r="E161" i="16" s="1"/>
  <c r="D91" i="16"/>
  <c r="E160" i="16" s="1"/>
  <c r="D93" i="16"/>
  <c r="E162" i="16" s="1"/>
  <c r="D90" i="16"/>
  <c r="E159" i="16" s="1"/>
  <c r="D94" i="16"/>
  <c r="E163" i="16" s="1"/>
  <c r="C7" i="16"/>
  <c r="D125" i="16" s="1"/>
  <c r="D18" i="16"/>
  <c r="E129" i="16" s="1"/>
  <c r="D78" i="16"/>
  <c r="E154" i="16" s="1"/>
  <c r="D102" i="16"/>
  <c r="E164" i="16" s="1"/>
  <c r="D66" i="16"/>
  <c r="E149" i="16" s="1"/>
  <c r="D42" i="16"/>
  <c r="E139" i="16" s="1"/>
  <c r="D103" i="16"/>
  <c r="E165" i="16" s="1"/>
  <c r="D104" i="16"/>
  <c r="E166" i="16" s="1"/>
  <c r="D106" i="16"/>
  <c r="E168" i="16" s="1"/>
  <c r="D105" i="16"/>
  <c r="E167" i="16" s="1"/>
  <c r="D80" i="16"/>
  <c r="E156" i="16" s="1"/>
  <c r="D31" i="16"/>
  <c r="E135" i="16" s="1"/>
  <c r="D21" i="16"/>
  <c r="E132" i="16" s="1"/>
  <c r="D81" i="16"/>
  <c r="E157" i="16" s="1"/>
  <c r="D79" i="16"/>
  <c r="E155" i="16" s="1"/>
  <c r="D68" i="16"/>
  <c r="E151" i="16" s="1"/>
  <c r="D82" i="16"/>
  <c r="E158" i="16" s="1"/>
  <c r="D69" i="16"/>
  <c r="E152" i="16" s="1"/>
  <c r="D67" i="16"/>
  <c r="E150" i="16" s="1"/>
  <c r="D45" i="16"/>
  <c r="E142" i="16" s="1"/>
  <c r="D70" i="16"/>
  <c r="E153" i="16" s="1"/>
  <c r="D43" i="16"/>
  <c r="E140" i="16" s="1"/>
  <c r="D19" i="16"/>
  <c r="E130" i="16" s="1"/>
  <c r="D20" i="16"/>
  <c r="E131" i="16" s="1"/>
  <c r="D46" i="16"/>
  <c r="E143" i="16" s="1"/>
  <c r="D44" i="16"/>
  <c r="E141" i="16" s="1"/>
  <c r="D32" i="16"/>
  <c r="E136" i="16" s="1"/>
  <c r="D34" i="16"/>
  <c r="E138" i="16" s="1"/>
  <c r="D33" i="16"/>
  <c r="E137" i="16" s="1"/>
  <c r="D22" i="16"/>
  <c r="E133" i="16" s="1"/>
  <c r="B41" i="46" l="1"/>
  <c r="C14" i="16"/>
  <c r="B51" i="14"/>
  <c r="C50" i="14" s="1"/>
  <c r="D7" i="16"/>
  <c r="E125" i="16" s="1"/>
  <c r="D6" i="16"/>
  <c r="E124" i="16" s="1"/>
  <c r="D10" i="16"/>
  <c r="E128" i="16" s="1"/>
  <c r="D8" i="16"/>
  <c r="E126" i="16" s="1"/>
  <c r="D9" i="16"/>
  <c r="E127" i="16" s="1"/>
  <c r="C41" i="46" l="1"/>
  <c r="C40" i="46"/>
  <c r="C44" i="46"/>
  <c r="C42" i="46"/>
  <c r="C43" i="46"/>
  <c r="C53" i="14"/>
  <c r="C54" i="14"/>
  <c r="C52" i="14"/>
  <c r="C51" i="14"/>
  <c r="C14" i="14"/>
  <c r="C16" i="14"/>
  <c r="C15" i="14"/>
  <c r="C10" i="14"/>
  <c r="C11" i="14"/>
  <c r="C13" i="14"/>
  <c r="C8" i="14"/>
  <c r="C9" i="14"/>
  <c r="C12" i="14"/>
</calcChain>
</file>

<file path=xl/sharedStrings.xml><?xml version="1.0" encoding="utf-8"?>
<sst xmlns="http://schemas.openxmlformats.org/spreadsheetml/2006/main" count="8921" uniqueCount="428">
  <si>
    <t>2025 ADU Homeowner Survey Introduction</t>
  </si>
  <si>
    <t>The following tables and figures summarize 2025 responses to ABAG’s ADU Affordability Survey at the regional, county, and city level. The survey was designed to help jurisdictions meet ADU monitoring requirements in their Housing Elements and to inform affordability assumptions for Annual Progress Reports (APRs).
Developed by ABAG in consultation with an advisory group of jurisdiction staff and reviewed by HCD, the survey launched in 2024 and remains active, with additional analysis planned as more responses are collected. The City of San José administers a similar survey, and those responses were incorporated into this analysis.
The five-minute, anonymous survey asks homeowners about the ADU they intend to build, including type (e.g., detached), size, bedroom count, expected occupants (e.g., renters, family, friends), and anticipated rent. To protect privacy and encourage accurate responses, rent is collected in ranges rather than exact amounts.
ABAG staff and consultants determine affordability levels using HCD State Income Limits, adjusted for household size and ADU bedroom count, as described on the Methodology tab.</t>
  </si>
  <si>
    <t>Links and Data Sources:</t>
  </si>
  <si>
    <t>ABAG's ADU Survey Tool Website</t>
  </si>
  <si>
    <t>Using ADUs to Satisfy RHNA</t>
  </si>
  <si>
    <r>
      <t xml:space="preserve">Data Sources: </t>
    </r>
    <r>
      <rPr>
        <sz val="12"/>
        <color theme="1"/>
        <rFont val="Calibri"/>
        <family val="2"/>
        <scheme val="minor"/>
      </rPr>
      <t>ADU Homeowner Data export, 1/28/2026 (ABAG), San Jose Survey data export, 2/10/25</t>
    </r>
  </si>
  <si>
    <r>
      <rPr>
        <b/>
        <sz val="12"/>
        <color theme="1"/>
        <rFont val="Calibri"/>
        <family val="2"/>
        <scheme val="minor"/>
      </rPr>
      <t>Questions:</t>
    </r>
    <r>
      <rPr>
        <sz val="12"/>
        <color theme="1"/>
        <rFont val="Calibri"/>
        <family val="2"/>
        <scheme val="minor"/>
      </rPr>
      <t xml:space="preserve"> Hannah Diaz, hdiaz@bayareametro.gov and Josh Ellsworth, ellsworth@planningcollaborative.com</t>
    </r>
  </si>
  <si>
    <t>2025 ADU Homeowner Survey Regional Overview</t>
  </si>
  <si>
    <t>The following tables and figures present the nine county regional analysis, summarizing all 2025 responses to the ABAG ADU Survey and the San José ADU Survey.</t>
  </si>
  <si>
    <r>
      <t xml:space="preserve">Total Responses </t>
    </r>
    <r>
      <rPr>
        <b/>
        <sz val="18"/>
        <color rgb="FFFF0000"/>
        <rFont val="Calibri"/>
        <family val="2"/>
        <scheme val="minor"/>
      </rPr>
      <t>in 2025</t>
    </r>
  </si>
  <si>
    <t>1. County</t>
  </si>
  <si>
    <t>County</t>
  </si>
  <si>
    <t>Responses by Location</t>
  </si>
  <si>
    <t>Percent of Responses</t>
  </si>
  <si>
    <t>Figure 1. Responses by County</t>
  </si>
  <si>
    <t>Figure 2.  ADU Occupants</t>
  </si>
  <si>
    <t>Figure 3.  ADU Residential or Non-Residential Use</t>
  </si>
  <si>
    <t>Alameda</t>
  </si>
  <si>
    <t>Contra Costa</t>
  </si>
  <si>
    <t>Marin</t>
  </si>
  <si>
    <t>Napa</t>
  </si>
  <si>
    <t>San Francisco</t>
  </si>
  <si>
    <t>San Mateo</t>
  </si>
  <si>
    <t>Santa Clara</t>
  </si>
  <si>
    <t>Solano</t>
  </si>
  <si>
    <t>Sonoma</t>
  </si>
  <si>
    <t>2. Occupants (multiple answers accepted)</t>
  </si>
  <si>
    <t>Occupant(s)</t>
  </si>
  <si>
    <t>Responses</t>
  </si>
  <si>
    <t>Family</t>
  </si>
  <si>
    <t>Renter</t>
  </si>
  <si>
    <t>Myself</t>
  </si>
  <si>
    <t>Friend</t>
  </si>
  <si>
    <t>Not using for Housing</t>
  </si>
  <si>
    <t>Did not answer</t>
  </si>
  <si>
    <t>3. Residential Use</t>
  </si>
  <si>
    <t>Is there a planned residential use for the ADU?</t>
  </si>
  <si>
    <t>Count of Responses</t>
  </si>
  <si>
    <t>Yes, this unit will be used for housing.</t>
  </si>
  <si>
    <t>No, this unit will not be used for housing.</t>
  </si>
  <si>
    <t>4. ADU Size (Bedroom Count)</t>
  </si>
  <si>
    <t>Bedroom Count</t>
  </si>
  <si>
    <t>Studio</t>
  </si>
  <si>
    <t>1 Bedroom</t>
  </si>
  <si>
    <t>2 Bedroom</t>
  </si>
  <si>
    <t>3+ Bedroom</t>
  </si>
  <si>
    <t>5. ADU Size (Square Footage)</t>
  </si>
  <si>
    <t>ADU Size</t>
  </si>
  <si>
    <t>Figure 4.  ADU Size by Bedroom Count</t>
  </si>
  <si>
    <t>Figure 5. ADU Size by Square Footage</t>
  </si>
  <si>
    <t>Figure 6a. Percent of ADUs by Affordability Level (Pie Chart)</t>
  </si>
  <si>
    <t>Less than or equal to 500 sf</t>
  </si>
  <si>
    <t>501 - 750 sf</t>
  </si>
  <si>
    <t>751 - 1,000 sf</t>
  </si>
  <si>
    <t>1,001 - 1,250 sf</t>
  </si>
  <si>
    <t>1,251 + sf</t>
  </si>
  <si>
    <t>6. Affordability at the Regional Level (excludes "Not used for housing" and "Decline to State" Responses)</t>
  </si>
  <si>
    <t>ADU Affordability Level</t>
  </si>
  <si>
    <t>Count of Units</t>
  </si>
  <si>
    <t>Percent</t>
  </si>
  <si>
    <t>Zero Rent / Extremely Low Income Units</t>
  </si>
  <si>
    <t>Very Low Income Units</t>
  </si>
  <si>
    <t>Low Income Units</t>
  </si>
  <si>
    <t>Moderate Income Units</t>
  </si>
  <si>
    <t>Above Moderate Units</t>
  </si>
  <si>
    <t>7. ADU Rent at the Regional Level</t>
  </si>
  <si>
    <t>ADU Rent Category</t>
  </si>
  <si>
    <t>$1 - $1,000</t>
  </si>
  <si>
    <t>$1,001 - $1,500</t>
  </si>
  <si>
    <t>$1,501 - $2,000</t>
  </si>
  <si>
    <t>$2,001 - $2,500</t>
  </si>
  <si>
    <t>$2,501 - $3,000</t>
  </si>
  <si>
    <t>$3,001 - $3,500</t>
  </si>
  <si>
    <t>$3,501 - $4,000</t>
  </si>
  <si>
    <t>$4,001 - $4,500</t>
  </si>
  <si>
    <t>More than $4,500</t>
  </si>
  <si>
    <t>Not planning to use for housing</t>
  </si>
  <si>
    <t>Figure 6b. Percent of ADUs by Affordability Level (Bar  Graph)</t>
  </si>
  <si>
    <t>Figure 7.  Percent of ADUs by Rent Level at the Regional Level</t>
  </si>
  <si>
    <t>Not planning to charge rent</t>
  </si>
  <si>
    <t>Decline to State</t>
  </si>
  <si>
    <t>8. Tenant Responsibility for Utilities (multiple answers accepted)</t>
  </si>
  <si>
    <t>Utility</t>
  </si>
  <si>
    <t>Not Sure</t>
  </si>
  <si>
    <t>No Utilities</t>
  </si>
  <si>
    <t>Electricity</t>
  </si>
  <si>
    <t>Gas</t>
  </si>
  <si>
    <t>Trash</t>
  </si>
  <si>
    <t>Water/Sewer</t>
  </si>
  <si>
    <t>9. Survey Requirement in Jurisdiction</t>
  </si>
  <si>
    <t>Answer</t>
  </si>
  <si>
    <t>Survey is Required</t>
  </si>
  <si>
    <t>Survey is not Required</t>
  </si>
  <si>
    <t>Figure 8. Tenant Responsibility for Utilities (multiple answers accepted)</t>
  </si>
  <si>
    <t>Figure 9: Survey Requirement in Jurisdiction</t>
  </si>
  <si>
    <t>2025 ADU Homeowner Survey County Overview</t>
  </si>
  <si>
    <t>The following tables and figures present the county level analysis, summarizing all 2025 responses to the ABAG ADU Survey and the San José ADU Survey. Use dropdown tool in cell B5 to choose a county.</t>
  </si>
  <si>
    <t>Use the Dropdown Arrow to Choose the County:</t>
  </si>
  <si>
    <t>Alameda County</t>
  </si>
  <si>
    <t>Total Responses:</t>
  </si>
  <si>
    <t>1. Occupants (multiple answers accepted)</t>
  </si>
  <si>
    <t>Figure 1. ADU Occupants</t>
  </si>
  <si>
    <t>Figure 2. Residential Use</t>
  </si>
  <si>
    <t>Figure 3. ADU Size by Bedroom Count</t>
  </si>
  <si>
    <t>2. Residential Use</t>
  </si>
  <si>
    <t>3. ADU Size (Bedroom Count)</t>
  </si>
  <si>
    <t>4. ADU Size (Square Footage)</t>
  </si>
  <si>
    <t>Table 3.  Number of Bedrooms</t>
  </si>
  <si>
    <t>5. Affordability (excludes "Not used for housing" and "Decline to State" Responses)</t>
  </si>
  <si>
    <t>Figure 4. ADU Size by Square Footage</t>
  </si>
  <si>
    <t>Figure 5a. Percent of ADUs by Affordability Level (Pie Chart)</t>
  </si>
  <si>
    <t>Figure 5b. Percent of ADUs by Affordability Level (Bar Graph)</t>
  </si>
  <si>
    <t>6. ADU Rent</t>
  </si>
  <si>
    <t>7. Tenant Responsibility for Utilities (multiple answers accepted)</t>
  </si>
  <si>
    <t>Figure 6. Percent of ADUs by Rent Level</t>
  </si>
  <si>
    <t>Figure 7. Responsibility for Utilities</t>
  </si>
  <si>
    <t>2025 ADU Homeowner Survey City Overview</t>
  </si>
  <si>
    <t>The following tables and figures present the city level analysis, summarizing all 2025 responses to the ABAG ADU Survey and the San José ADU Survey. Use dropdown tool in cell B5 to choose a city.
Note: Only cities with 5 or more responses are included in the city-level analysis.</t>
  </si>
  <si>
    <t>Use the Dropdown Arrow to Choose the City</t>
  </si>
  <si>
    <t>San Bruno</t>
  </si>
  <si>
    <t>5. ADU Rent</t>
  </si>
  <si>
    <t>6. Tenant Responsibility for Utilities (multiple answers accepted)</t>
  </si>
  <si>
    <t>2025 ADU Homeowner Survey Unit Affordability Breakdown by County</t>
  </si>
  <si>
    <t>The following tables and figures show the affordability breakdown of units at the county level. It includes all 2025 responses to the ABAG ADU Survey and the San José ADU Survey. For more information about how units were assigned affordability levels, please see the methodology.</t>
  </si>
  <si>
    <t>1. Alameda County Affordability</t>
  </si>
  <si>
    <t>Figure 1. Percent of Affordable ADUs by income level in Alameda County</t>
  </si>
  <si>
    <t>Table 2. Percent of Affordable ADUs by income level in Contra Costa County</t>
  </si>
  <si>
    <t>Table 3. Percent of Affordable ADUs by income level in Marin County</t>
  </si>
  <si>
    <t>Not planning to use for housing units</t>
  </si>
  <si>
    <t>Decline to State Units</t>
  </si>
  <si>
    <t>Total Units</t>
  </si>
  <si>
    <t>2. Contra Costa County Affordability</t>
  </si>
  <si>
    <t>3. Marin County Affordability</t>
  </si>
  <si>
    <t>Table 4. Percent of Affordable ADUs by income level in Napa County</t>
  </si>
  <si>
    <t>Table 5. Percent of Affordable ADUs by income level in San Francisco County</t>
  </si>
  <si>
    <t>Table 6. Percent of Affordable ADUs by income level in San Mateo County</t>
  </si>
  <si>
    <t>4. Napa County Affordability</t>
  </si>
  <si>
    <t>5. San Francisco County Affordability</t>
  </si>
  <si>
    <t>Table 7. Percent of Affordable ADUs by income level in Santa Clara County</t>
  </si>
  <si>
    <t>Table 8. Percent of Affordable ADUs by income level in Solano County</t>
  </si>
  <si>
    <t>Table 9. Percent of Affordable ADUs by income level in Sonoma County</t>
  </si>
  <si>
    <t>6. San Mateo County Affordability</t>
  </si>
  <si>
    <t>7. Santa Clara County Affordability</t>
  </si>
  <si>
    <t>8. Solano County Affordability</t>
  </si>
  <si>
    <t>9. Sonoma County Affordability</t>
  </si>
  <si>
    <t>Affordability Level</t>
  </si>
  <si>
    <t>Contra Costa County</t>
  </si>
  <si>
    <t>Marin County</t>
  </si>
  <si>
    <t>Napa County</t>
  </si>
  <si>
    <t>San Francisco County</t>
  </si>
  <si>
    <t>San Mateo County</t>
  </si>
  <si>
    <t>Santa Clara County</t>
  </si>
  <si>
    <t>Solano County</t>
  </si>
  <si>
    <t>Sonoma County</t>
  </si>
  <si>
    <t>2025 ADU Homeowner Survey Demographic Data</t>
  </si>
  <si>
    <t>The following tables and figures present the demographic analysis, summarizing all 2025 responses to the ABAG ADU Survey. 
Note: Answering the demographic questions was optional and the San José ADU Survey did not have a demographic component.</t>
  </si>
  <si>
    <t>1. Responding to Demographic Data Questions</t>
  </si>
  <si>
    <t>Table 1. Responded to Demographic Data Questions</t>
  </si>
  <si>
    <t>Table 2. Age of Head of Household</t>
  </si>
  <si>
    <t>Yes</t>
  </si>
  <si>
    <t>No</t>
  </si>
  <si>
    <t>2. Age of Head of Household</t>
  </si>
  <si>
    <t>Under 45</t>
  </si>
  <si>
    <t>45-64</t>
  </si>
  <si>
    <t>65+</t>
  </si>
  <si>
    <t>Decline to state</t>
  </si>
  <si>
    <t>3. Race of Head of Household (all that apply)</t>
  </si>
  <si>
    <t>Asian</t>
  </si>
  <si>
    <t>Black/African American</t>
  </si>
  <si>
    <t>Latino/Hispanic</t>
  </si>
  <si>
    <t>White</t>
  </si>
  <si>
    <t>Another race</t>
  </si>
  <si>
    <t>4. Primary Language Spoken at Home (all that apply)</t>
  </si>
  <si>
    <t>Table 3. Race of Head of Household (all that apply)</t>
  </si>
  <si>
    <t>Table 4.  Primary Language Spoken at Home (all that apply)</t>
  </si>
  <si>
    <t>English</t>
  </si>
  <si>
    <t>Spanish</t>
  </si>
  <si>
    <t>Chinese</t>
  </si>
  <si>
    <t>Another language</t>
  </si>
  <si>
    <t>5. Number of People in Household</t>
  </si>
  <si>
    <t>1 person</t>
  </si>
  <si>
    <t>2 person</t>
  </si>
  <si>
    <t>3 person</t>
  </si>
  <si>
    <t>4 person</t>
  </si>
  <si>
    <t>5 or more person</t>
  </si>
  <si>
    <t>6. Household Income</t>
  </si>
  <si>
    <t>Under $75,000</t>
  </si>
  <si>
    <t>$75,000 - $99,999</t>
  </si>
  <si>
    <t>$100,000 - $149,999</t>
  </si>
  <si>
    <t>$150,000 - $199,999</t>
  </si>
  <si>
    <t>$200,000 or more</t>
  </si>
  <si>
    <t>Table 5. Number of People in Household</t>
  </si>
  <si>
    <t>Table 6. Household Income</t>
  </si>
  <si>
    <t>2025 ADU Homeowner Survey Methodology</t>
  </si>
  <si>
    <t>Survey Responses</t>
  </si>
  <si>
    <t>The ADU Homeowner Survey was an optional survey administered by ABAG to help document the affordability of new ADUs and help jurisdictions meet ADU monitoring requirements made in their Housing Elements. The survey was available on the ABAG website and participating jurisdictions also publicized the survey.
The survey contained a series of questions which asks survey takers about the ADU that they anticipated building as well as demographic data about themselves. The demographic questions were optional. All responses were generated by the survey takers and have not been verified by ABAG.</t>
  </si>
  <si>
    <t>Affordability Filtration</t>
  </si>
  <si>
    <t>When calculating the affordability levels of proposed ADUs, the following response types were removed to avoid skewing the results:
• Responses indicating the ADU would not be used for housing; and
• Responses selecting “decline to state” for rent amount on the updated ABAG survey.</t>
  </si>
  <si>
    <t>Affordability Calculations</t>
  </si>
  <si>
    <r>
      <t xml:space="preserve">In order to determine the affordability of the proposed ADU, this analysis used a formula based on HCD’s State Income Limits. The formula is based on the County Median Income and then adjusted for both occupancy and income category. A maximum monthly rent threshold was established using 30% of total income as a maximum rent expenditure.
The household size assumptions were as follows: 
• </t>
    </r>
    <r>
      <rPr>
        <b/>
        <sz val="12"/>
        <color theme="1"/>
        <rFont val="Calibri"/>
        <family val="2"/>
        <scheme val="minor"/>
      </rPr>
      <t>Studio:</t>
    </r>
    <r>
      <rPr>
        <sz val="12"/>
        <color theme="1"/>
        <rFont val="Calibri"/>
        <family val="2"/>
        <scheme val="minor"/>
      </rPr>
      <t xml:space="preserve"> 1-person household, 70% of County Median Income
•</t>
    </r>
    <r>
      <rPr>
        <b/>
        <sz val="12"/>
        <color theme="1"/>
        <rFont val="Calibri"/>
        <family val="2"/>
        <scheme val="minor"/>
      </rPr>
      <t xml:space="preserve"> 1BR:</t>
    </r>
    <r>
      <rPr>
        <sz val="12"/>
        <color theme="1"/>
        <rFont val="Calibri"/>
        <family val="2"/>
        <scheme val="minor"/>
      </rPr>
      <t xml:space="preserve"> 2-person household, 80% of County Median Income
•</t>
    </r>
    <r>
      <rPr>
        <b/>
        <sz val="12"/>
        <color theme="1"/>
        <rFont val="Calibri"/>
        <family val="2"/>
        <scheme val="minor"/>
      </rPr>
      <t xml:space="preserve"> 2BR:</t>
    </r>
    <r>
      <rPr>
        <sz val="12"/>
        <color theme="1"/>
        <rFont val="Calibri"/>
        <family val="2"/>
        <scheme val="minor"/>
      </rPr>
      <t xml:space="preserve"> 3-person household, 90% of County Median Income
• </t>
    </r>
    <r>
      <rPr>
        <b/>
        <sz val="12"/>
        <color theme="1"/>
        <rFont val="Calibri"/>
        <family val="2"/>
        <scheme val="minor"/>
      </rPr>
      <t xml:space="preserve">3BR: </t>
    </r>
    <r>
      <rPr>
        <sz val="12"/>
        <color theme="1"/>
        <rFont val="Calibri"/>
        <family val="2"/>
        <scheme val="minor"/>
      </rPr>
      <t xml:space="preserve">4 person household, County Median Income
The county-specific income limits were then adjusted based on expected household size.
Once the incomes were adjusted for household size, then thresholds for income levels were established as follows: 
• </t>
    </r>
    <r>
      <rPr>
        <b/>
        <sz val="12"/>
        <color theme="1"/>
        <rFont val="Calibri"/>
        <family val="2"/>
        <scheme val="minor"/>
      </rPr>
      <t>Extremely Low Income</t>
    </r>
    <r>
      <rPr>
        <sz val="12"/>
        <color theme="1"/>
        <rFont val="Calibri"/>
        <family val="2"/>
        <scheme val="minor"/>
      </rPr>
      <t xml:space="preserve">: Up to 30% of the adjusted County-specific Median Income
• </t>
    </r>
    <r>
      <rPr>
        <b/>
        <sz val="12"/>
        <color theme="1"/>
        <rFont val="Calibri"/>
        <family val="2"/>
        <scheme val="minor"/>
      </rPr>
      <t>Very Low Income</t>
    </r>
    <r>
      <rPr>
        <sz val="12"/>
        <color theme="1"/>
        <rFont val="Calibri"/>
        <family val="2"/>
        <scheme val="minor"/>
      </rPr>
      <t xml:space="preserve">: between 31% and 50% of the adjusted County-specific Median Income
• </t>
    </r>
    <r>
      <rPr>
        <b/>
        <sz val="12"/>
        <color theme="1"/>
        <rFont val="Calibri"/>
        <family val="2"/>
        <scheme val="minor"/>
      </rPr>
      <t>Low Income:</t>
    </r>
    <r>
      <rPr>
        <sz val="12"/>
        <color theme="1"/>
        <rFont val="Calibri"/>
        <family val="2"/>
        <scheme val="minor"/>
      </rPr>
      <t xml:space="preserve"> between 51% and 80% of adjusted County-specific Median Income
• </t>
    </r>
    <r>
      <rPr>
        <b/>
        <sz val="12"/>
        <color theme="1"/>
        <rFont val="Calibri"/>
        <family val="2"/>
        <scheme val="minor"/>
      </rPr>
      <t>Moderate Income</t>
    </r>
    <r>
      <rPr>
        <sz val="12"/>
        <color theme="1"/>
        <rFont val="Calibri"/>
        <family val="2"/>
        <scheme val="minor"/>
      </rPr>
      <t xml:space="preserve">: between 81% and 120% of adjusted County-specific Median Income
From the adjusted incomes, a maximum monthly rent threshold was established using the assumption that occupants should only spend up to 30% of their income on housing.
</t>
    </r>
    <r>
      <rPr>
        <sz val="12"/>
        <rFont val="Calibri"/>
        <family val="2"/>
        <scheme val="minor"/>
      </rPr>
      <t>If a survey taker answered that the expected monthly rent was "0", the submission was separated out</t>
    </r>
    <r>
      <rPr>
        <sz val="12"/>
        <color theme="1"/>
        <rFont val="Calibri"/>
        <family val="2"/>
        <scheme val="minor"/>
      </rPr>
      <t xml:space="preserve"> from the affordability calculation and was included in the "</t>
    </r>
    <r>
      <rPr>
        <sz val="12"/>
        <rFont val="Calibri"/>
        <family val="2"/>
        <scheme val="minor"/>
      </rPr>
      <t xml:space="preserve">Zero Rent / Extremely Low Income Units" category.
</t>
    </r>
    <r>
      <rPr>
        <sz val="12"/>
        <color theme="1"/>
        <rFont val="Calibri"/>
        <family val="2"/>
        <scheme val="minor"/>
      </rPr>
      <t xml:space="preserve">
Example:  The 2024 Median Income in Alameda County was $155,700. To calculate the maximum rent for an Extremely Low Income One-Bedroom ADU household, first adjust the median income for expected occupancy (2 persons, therefore 80% of the Median Income) which is $124,560. Then adjust for the Extremely Low Income Category to calculate the maximum yearly income to qualify as Extremely Low Income (ELI is up to 30% of the Median Income) which is $37,368. Lastly, calculate the maximum monthly rent (Rent maximum is 30% of annual income) which is $934 a month. ($37,368 x 0.3 / 12months)</t>
    </r>
  </si>
  <si>
    <t>Categorization</t>
  </si>
  <si>
    <t>The survey responses were categorized first by calendar year since the income limits are updated yearly, and then by location, since each county has its own calculated median income.
Since the second version of the survey asks respondents to choose a range for their intended rent, the analysis uses an even distribution to assign affordability which preserves proportionality.
Example: If low income maximum rent is $15 per month, and 10 people choose the box "between $10 and $20 a month" for rent, five units would be considered low-income units and five units would be moderate income units.</t>
  </si>
  <si>
    <t>2025 HCD Median Income by County</t>
  </si>
  <si>
    <t>One BR</t>
  </si>
  <si>
    <t>Two BR</t>
  </si>
  <si>
    <t>3+</t>
  </si>
  <si>
    <t>Income</t>
  </si>
  <si>
    <t>Percentage</t>
  </si>
  <si>
    <t>ELI</t>
  </si>
  <si>
    <t>VL</t>
  </si>
  <si>
    <t>LI</t>
  </si>
  <si>
    <t>MOD</t>
  </si>
  <si>
    <t>Median Income</t>
  </si>
  <si>
    <t>Market</t>
  </si>
  <si>
    <t>Median Income Adjusted for Occupancy Assumptions and HCD Income Category Thresholds</t>
  </si>
  <si>
    <t>MED</t>
  </si>
  <si>
    <t>1BR</t>
  </si>
  <si>
    <t>2BR</t>
  </si>
  <si>
    <t>3BR</t>
  </si>
  <si>
    <t>Based on survey results, the number of ADUs in Alameda County that are estimated to be affordable at different income levels.</t>
  </si>
  <si>
    <t xml:space="preserve">Maximum rents for HCD Income Thresholds (30% of total income assumption) </t>
  </si>
  <si>
    <t>3BR+</t>
  </si>
  <si>
    <t>sum</t>
  </si>
  <si>
    <t>VLI</t>
  </si>
  <si>
    <t>MARKET</t>
  </si>
  <si>
    <t>Based on survey results, the number of ADUs in Contra Costa County that are estimated to be affordable at different income levels.</t>
  </si>
  <si>
    <t>Based on survey results, the number of ADUs in Marin County that are estimated to be affordable at different income levels.</t>
  </si>
  <si>
    <t>SUM</t>
  </si>
  <si>
    <t>Based on survey results, the number of ADUs in Napa County that are estimated to be affordable at different income levels.</t>
  </si>
  <si>
    <t>Based on survey results, the number of ADUs in San Francisco County that are estimated to be affordable at different income levels.</t>
  </si>
  <si>
    <t>Based on survey results, the number of ADUs in San Mateo County that are estimated to be affordable at different income levels.</t>
  </si>
  <si>
    <t>Based on survey results, the number of ADUs in Santa Clara County that are estimated to be affordable at different income levels.</t>
  </si>
  <si>
    <t>Based on survey results, the number of ADUs in Solano County that are estimated to be affordable at different income levels.</t>
  </si>
  <si>
    <t>Based on survey results, the number of ADUs in Sonoma County that are estimated to be affordable at different income levels.</t>
  </si>
  <si>
    <t>ID</t>
  </si>
  <si>
    <t>Please select your county</t>
  </si>
  <si>
    <t>City or Community (Alameda County)</t>
  </si>
  <si>
    <t>City or Community (Contra Costa)</t>
  </si>
  <si>
    <t>City or Community (Marin County)</t>
  </si>
  <si>
    <t>City or Community (Napa County)</t>
  </si>
  <si>
    <t>City or Community (San Mateo County)</t>
  </si>
  <si>
    <t>City or Community (Santa Clara County)</t>
  </si>
  <si>
    <t>City or Community (Solano County)</t>
  </si>
  <si>
    <t>City or Community (Sonoma County)</t>
  </si>
  <si>
    <t>Who do you expect to live in the ADU?</t>
  </si>
  <si>
    <t>What type of ADU are you building?</t>
  </si>
  <si>
    <t>Select all the following design options that apply to your ADU:</t>
  </si>
  <si>
    <t>What has been the most difficult part of the ADU permit process?</t>
  </si>
  <si>
    <t>Do you plan to initially use the ADU as housing?</t>
  </si>
  <si>
    <t>How many square feet will your ADU have? (Estimates are okay)</t>
  </si>
  <si>
    <t>How many bedrooms will the ADU have?</t>
  </si>
  <si>
    <t>What do you expect the approximate monthly rent to be? (Please enter 0 if you are not planning to collect rent for the ADU)</t>
  </si>
  <si>
    <t>Which utilities will the tenant pay for (in full or in part)? (Select all that apply)</t>
  </si>
  <si>
    <t>Are you in a city/town/county that requires you to fill out this survey?</t>
  </si>
  <si>
    <t>Do you want to answer optional demographic questions?</t>
  </si>
  <si>
    <t>What is the age of the head of your household?</t>
  </si>
  <si>
    <t>What is the race of the head of your household? (Select all that apply)</t>
  </si>
  <si>
    <t>If another race was selected above, please specify.</t>
  </si>
  <si>
    <t>What is the primary language spoken in your home? (Select all that apply)</t>
  </si>
  <si>
    <t>If another language was selected above, please specify.</t>
  </si>
  <si>
    <t>What is the number of people who live in your household?</t>
  </si>
  <si>
    <t>What is your household income?</t>
  </si>
  <si>
    <t>Jurisdiction</t>
  </si>
  <si>
    <t>Number of entries</t>
  </si>
  <si>
    <t>Number of entries2</t>
  </si>
  <si>
    <t>Year</t>
  </si>
  <si>
    <t>Pleasanton</t>
  </si>
  <si>
    <t>Someone else (will find a renter);</t>
  </si>
  <si>
    <t>Junior ADU</t>
  </si>
  <si>
    <t>Custom design;</t>
  </si>
  <si>
    <t>Working with the design team</t>
  </si>
  <si>
    <t>0 (studio)</t>
  </si>
  <si>
    <t>No utilities;</t>
  </si>
  <si>
    <t>The ADU will not be used for housing</t>
  </si>
  <si>
    <t>Family;</t>
  </si>
  <si>
    <t>Electricity;</t>
  </si>
  <si>
    <t>Not sure at this time;</t>
  </si>
  <si>
    <t>Attached ADU (new construction)</t>
  </si>
  <si>
    <t>Understanding the design requirements</t>
  </si>
  <si>
    <t>Detached ADU (new construction)</t>
  </si>
  <si>
    <t>Understanding the permit requirements</t>
  </si>
  <si>
    <t>1</t>
  </si>
  <si>
    <t>Electricity;Water/sewer;</t>
  </si>
  <si>
    <t>Family;Myself;</t>
  </si>
  <si>
    <t>Electricity;Gas;Water/sewer;Trash;</t>
  </si>
  <si>
    <t>English;Chinese;</t>
  </si>
  <si>
    <t>5 or more</t>
  </si>
  <si>
    <t>Myself;Family;</t>
  </si>
  <si>
    <t>Working with city staff</t>
  </si>
  <si>
    <t>White;</t>
  </si>
  <si>
    <t>English;</t>
  </si>
  <si>
    <t>3</t>
  </si>
  <si>
    <t>None/Not sure;</t>
  </si>
  <si>
    <t>Family;Someone else (will find a renter);</t>
  </si>
  <si>
    <t>Myself;</t>
  </si>
  <si>
    <t>2</t>
  </si>
  <si>
    <t>Friend;Someone else (will find a renter);</t>
  </si>
  <si>
    <t>Electricity;Gas;Water/sewer;</t>
  </si>
  <si>
    <t>Electricity;Water/sewer;Trash;</t>
  </si>
  <si>
    <t>Asian;</t>
  </si>
  <si>
    <t>4</t>
  </si>
  <si>
    <t>Pre-approved design plans;</t>
  </si>
  <si>
    <t>Fremont</t>
  </si>
  <si>
    <t>Modular/prefabricated/manufactured;</t>
  </si>
  <si>
    <t>Electricity;Gas;</t>
  </si>
  <si>
    <t>Electricity;Trash;</t>
  </si>
  <si>
    <t>Dublin</t>
  </si>
  <si>
    <t>Oakland</t>
  </si>
  <si>
    <t>Someone else (will find a renter);Family;</t>
  </si>
  <si>
    <t>San Leandro</t>
  </si>
  <si>
    <t>Berkeley</t>
  </si>
  <si>
    <t>Antioch</t>
  </si>
  <si>
    <t>Garage conversion</t>
  </si>
  <si>
    <t>Interior Conversion (renovation)</t>
  </si>
  <si>
    <t>Not sure at this time;Electricity;Gas;</t>
  </si>
  <si>
    <t>Electricity;Gas;Not sure at this time;</t>
  </si>
  <si>
    <t>Family;Friend;</t>
  </si>
  <si>
    <t>Custom design;Pre-approved design plans;</t>
  </si>
  <si>
    <t>Latino/Hispanic;</t>
  </si>
  <si>
    <t>Spanish;</t>
  </si>
  <si>
    <t>Water/sewer;Trash;</t>
  </si>
  <si>
    <t>Friend;</t>
  </si>
  <si>
    <t>Electricity;Not sure at this time;</t>
  </si>
  <si>
    <t>Spanish;English;</t>
  </si>
  <si>
    <t>Water/sewer;</t>
  </si>
  <si>
    <t>Modular/prefabricated/manufactured;Pre-approved design plans;Custom design;</t>
  </si>
  <si>
    <t>3 or more</t>
  </si>
  <si>
    <t>Myself;Family;Friend;Not using for housing;</t>
  </si>
  <si>
    <t>Gas;Water/sewer;Electricity;Trash;</t>
  </si>
  <si>
    <t>Not sure at this time;No utilities;</t>
  </si>
  <si>
    <t>Martinez</t>
  </si>
  <si>
    <t>Family;Friend;Someone else (will find a renter);</t>
  </si>
  <si>
    <t>White;Latino/Hispanic;Another race;</t>
  </si>
  <si>
    <t>Native American</t>
  </si>
  <si>
    <t>Another language;</t>
  </si>
  <si>
    <t>Tamil</t>
  </si>
  <si>
    <t>Friend;Family;Someone else (will find a renter);</t>
  </si>
  <si>
    <t>Moraga</t>
  </si>
  <si>
    <t>Custom design;Modular/prefabricated/manufactured;</t>
  </si>
  <si>
    <t>Family;Someone else (will find a renter);Myself;</t>
  </si>
  <si>
    <t>Black/African American;</t>
  </si>
  <si>
    <t>Twi</t>
  </si>
  <si>
    <t>Walnut Creek</t>
  </si>
  <si>
    <t>Decline to state;</t>
  </si>
  <si>
    <t>German</t>
  </si>
  <si>
    <t>El Cerrito</t>
  </si>
  <si>
    <t>Unincorporated Contra Costa County</t>
  </si>
  <si>
    <t>Corte Madera</t>
  </si>
  <si>
    <t>Family;Myself;Friend;</t>
  </si>
  <si>
    <t>Myself;Family;Someone else (will find a renter);Friend;</t>
  </si>
  <si>
    <t>Someone else (will find a renter);Friend;Family;</t>
  </si>
  <si>
    <t>San Anselmo</t>
  </si>
  <si>
    <t>Novato</t>
  </si>
  <si>
    <t>White;Asian;</t>
  </si>
  <si>
    <t>Larkspur</t>
  </si>
  <si>
    <t>American Canyon</t>
  </si>
  <si>
    <t>Unincorporated Napa County</t>
  </si>
  <si>
    <t>No utilities;Not sure at this time;</t>
  </si>
  <si>
    <t>Myself;Someone else (will find a renter);</t>
  </si>
  <si>
    <t>English;Another language;</t>
  </si>
  <si>
    <t>arabic</t>
  </si>
  <si>
    <t>No utilities;Trash;</t>
  </si>
  <si>
    <t>Trash;</t>
  </si>
  <si>
    <t>Punjabi</t>
  </si>
  <si>
    <t>Trash;Water/sewer;</t>
  </si>
  <si>
    <t>Electricity;Gas;Water/sewer;Trash;Not sure at this time;</t>
  </si>
  <si>
    <t>Myself;Family;Someone else (will find a renter);</t>
  </si>
  <si>
    <t>Pre-approved design plans;Modular/prefabricated/manufactured;</t>
  </si>
  <si>
    <t>Belmont</t>
  </si>
  <si>
    <t>Pre-approved design plans;Custom design;</t>
  </si>
  <si>
    <t>Millbrae</t>
  </si>
  <si>
    <t>Family;Someone else (will find a renter);Friend;</t>
  </si>
  <si>
    <t>Chinese;</t>
  </si>
  <si>
    <t>Friend;Family;</t>
  </si>
  <si>
    <t>Myself;Friend;Someone else (will find a renter);Family;</t>
  </si>
  <si>
    <t>Family;Friend;Myself;</t>
  </si>
  <si>
    <t>Redwood City</t>
  </si>
  <si>
    <t>Italian</t>
  </si>
  <si>
    <t>San Carlos</t>
  </si>
  <si>
    <t>Colma</t>
  </si>
  <si>
    <t>San Jose</t>
  </si>
  <si>
    <t>Garage Conversion</t>
  </si>
  <si>
    <t>Not applicable</t>
  </si>
  <si>
    <t>Attached ADU</t>
  </si>
  <si>
    <t>Detached ADU</t>
  </si>
  <si>
    <t>Electricity/gas; Not Sure</t>
  </si>
  <si>
    <t>Someone else (will find a renter)</t>
  </si>
  <si>
    <t>Electricity/gas</t>
  </si>
  <si>
    <t>Garage Conversion; Junior ADU</t>
  </si>
  <si>
    <t>Electricity/gas; Trash &amp; Recycling; Water</t>
  </si>
  <si>
    <t>Attached</t>
  </si>
  <si>
    <t>Skipped</t>
  </si>
  <si>
    <t>Electricity/gas; water</t>
  </si>
  <si>
    <t>Electricity;Trash;Water/sewer;</t>
  </si>
  <si>
    <t>Electricity/gas; Water</t>
  </si>
  <si>
    <t>Not sure</t>
  </si>
  <si>
    <t>Electricity/gas; trash &amp; recycling</t>
  </si>
  <si>
    <t>Attached ADU; Garage Conversion</t>
  </si>
  <si>
    <t>Electricity/gas; Trash &amp; Recycling</t>
  </si>
  <si>
    <t>Cupertino</t>
  </si>
  <si>
    <t>Another race;Decline to state;</t>
  </si>
  <si>
    <t>Modular/prefabricated/manufactured;Pre-approved design plans;</t>
  </si>
  <si>
    <t>Myself;Family;Friend;Someone else (will find a renter);</t>
  </si>
  <si>
    <t>Friend;Someone else (will find a renter);Family;</t>
  </si>
  <si>
    <t>Electricity;Water/sewer;Not sure at this time;Trash;</t>
  </si>
  <si>
    <t>Electricity;Gas;Trash;Water/sewer;</t>
  </si>
  <si>
    <t>Sunnyvale</t>
  </si>
  <si>
    <t>Another language;English;</t>
  </si>
  <si>
    <t xml:space="preserve">Farsi , Persian </t>
  </si>
  <si>
    <t>English;Spanish;</t>
  </si>
  <si>
    <t>Myself;Family;Friend;</t>
  </si>
  <si>
    <t>Gilroy</t>
  </si>
  <si>
    <t>Vallejo</t>
  </si>
  <si>
    <t>Hispanic</t>
  </si>
  <si>
    <t>N/A</t>
  </si>
  <si>
    <t>Vietnamese</t>
  </si>
  <si>
    <t>Rio Vista</t>
  </si>
  <si>
    <t>Myself;Friend;Family;</t>
  </si>
  <si>
    <t>Unincorporated Sonoma County</t>
  </si>
  <si>
    <t>Family;Friend;Someone else (will find a renter);Myself;</t>
  </si>
  <si>
    <t>Asian;Black/African American;White;</t>
  </si>
  <si>
    <t>Petaluma</t>
  </si>
  <si>
    <t>Sebastopol</t>
  </si>
  <si>
    <t>Gas;</t>
  </si>
  <si>
    <t>Santa Rosa</t>
  </si>
  <si>
    <t>Rohnert Park</t>
  </si>
  <si>
    <t>Water/sewer;Gas;Electricity;</t>
  </si>
  <si>
    <t>County Number of entries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</si>
</sst>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quot;$&quot;* #,##0_);_(&quot;$&quot;* \(#,##0\);_(&quot;$&quot;* &quot;-&quot;??_);_(@_)"/>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u/>
      <sz val="11"/>
      <color theme="10"/>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sz val="8"/>
      <name val="Calibri"/>
      <family val="2"/>
      <scheme val="minor"/>
    </font>
    <font>
      <b/>
      <sz val="18"/>
      <color theme="1"/>
      <name val="Calibri"/>
      <family val="2"/>
      <scheme val="minor"/>
    </font>
    <font>
      <sz val="22"/>
      <color theme="1"/>
      <name val="Calibri"/>
      <family val="2"/>
      <scheme val="minor"/>
    </font>
    <font>
      <u/>
      <sz val="12"/>
      <color theme="10"/>
      <name val="Calibri"/>
      <family val="2"/>
      <scheme val="minor"/>
    </font>
    <font>
      <b/>
      <sz val="18"/>
      <color rgb="FFFF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44" fontId="1" fillId="0" borderId="0" applyFont="0" applyFill="0" applyBorder="0" applyAlignment="0" applyProtection="0"/>
  </cellStyleXfs>
  <cellXfs count="59">
    <xf numFmtId="0" fontId="0" fillId="0" borderId="0" xfId="0"/>
    <xf numFmtId="0" fontId="0" fillId="0" borderId="0" xfId="0" applyAlignment="1">
      <alignment wrapText="1"/>
    </xf>
    <xf numFmtId="0" fontId="16" fillId="0" borderId="0" xfId="0" applyFont="1" applyAlignment="1">
      <alignment horizontal="center" wrapText="1"/>
    </xf>
    <xf numFmtId="0" fontId="0" fillId="0" borderId="0" xfId="0" applyAlignment="1">
      <alignment horizontal="left"/>
    </xf>
    <xf numFmtId="9" fontId="0" fillId="0" borderId="0" xfId="42" applyFont="1"/>
    <xf numFmtId="0" fontId="16" fillId="0" borderId="0" xfId="0" applyFont="1"/>
    <xf numFmtId="0" fontId="18" fillId="0" borderId="0" xfId="0" applyFont="1"/>
    <xf numFmtId="2" fontId="0" fillId="0" borderId="0" xfId="0" applyNumberFormat="1"/>
    <xf numFmtId="0" fontId="16" fillId="0" borderId="0" xfId="0" applyFont="1" applyAlignment="1">
      <alignment wrapText="1"/>
    </xf>
    <xf numFmtId="0" fontId="20" fillId="0" borderId="0" xfId="0" applyFont="1"/>
    <xf numFmtId="0" fontId="21" fillId="0" borderId="0" xfId="0" applyFont="1" applyAlignment="1">
      <alignment wrapText="1"/>
    </xf>
    <xf numFmtId="0" fontId="22" fillId="0" borderId="0" xfId="0" applyFont="1" applyAlignment="1">
      <alignment wrapText="1"/>
    </xf>
    <xf numFmtId="0" fontId="21" fillId="0" borderId="0" xfId="0" applyFont="1"/>
    <xf numFmtId="9" fontId="21" fillId="0" borderId="0" xfId="42" applyFont="1"/>
    <xf numFmtId="0" fontId="21" fillId="0" borderId="10" xfId="0" applyFont="1" applyBorder="1"/>
    <xf numFmtId="164" fontId="21" fillId="0" borderId="12" xfId="0" applyNumberFormat="1" applyFont="1" applyBorder="1"/>
    <xf numFmtId="0" fontId="21" fillId="0" borderId="13" xfId="0" applyFont="1" applyBorder="1"/>
    <xf numFmtId="164" fontId="21" fillId="0" borderId="14" xfId="0" applyNumberFormat="1" applyFont="1" applyBorder="1"/>
    <xf numFmtId="0" fontId="21" fillId="0" borderId="15" xfId="0" applyFont="1" applyBorder="1"/>
    <xf numFmtId="164" fontId="21" fillId="0" borderId="17" xfId="0" applyNumberFormat="1" applyFont="1" applyBorder="1"/>
    <xf numFmtId="0" fontId="21" fillId="0" borderId="11" xfId="0" applyFont="1" applyBorder="1"/>
    <xf numFmtId="0" fontId="21" fillId="0" borderId="12" xfId="0" applyFont="1" applyBorder="1"/>
    <xf numFmtId="0" fontId="23" fillId="0" borderId="13" xfId="43" applyFont="1" applyBorder="1"/>
    <xf numFmtId="164" fontId="21" fillId="0" borderId="0" xfId="0" applyNumberFormat="1" applyFont="1"/>
    <xf numFmtId="0" fontId="21" fillId="0" borderId="14" xfId="0" applyFont="1" applyBorder="1"/>
    <xf numFmtId="0" fontId="22" fillId="0" borderId="13" xfId="0" applyFont="1" applyBorder="1"/>
    <xf numFmtId="0" fontId="21" fillId="0" borderId="16" xfId="0" applyFont="1" applyBorder="1"/>
    <xf numFmtId="0" fontId="21" fillId="0" borderId="17" xfId="0" applyFont="1" applyBorder="1"/>
    <xf numFmtId="0" fontId="22" fillId="0" borderId="0" xfId="0" applyFont="1" applyAlignment="1">
      <alignment horizontal="center" wrapText="1"/>
    </xf>
    <xf numFmtId="165" fontId="21" fillId="0" borderId="0" xfId="44" applyNumberFormat="1" applyFont="1"/>
    <xf numFmtId="0" fontId="23" fillId="0" borderId="0" xfId="0" applyFont="1"/>
    <xf numFmtId="0" fontId="19" fillId="0" borderId="0" xfId="43"/>
    <xf numFmtId="0" fontId="21" fillId="0" borderId="0" xfId="0" applyFont="1" applyAlignment="1">
      <alignment horizontal="center"/>
    </xf>
    <xf numFmtId="0" fontId="21" fillId="0" borderId="0" xfId="0" applyFont="1" applyAlignment="1">
      <alignment horizontal="center" vertical="center"/>
    </xf>
    <xf numFmtId="164" fontId="21" fillId="0" borderId="0" xfId="44" applyNumberFormat="1" applyFont="1"/>
    <xf numFmtId="2" fontId="21" fillId="0" borderId="0" xfId="0" applyNumberFormat="1" applyFont="1"/>
    <xf numFmtId="2" fontId="21" fillId="0" borderId="0" xfId="42" applyNumberFormat="1" applyFont="1" applyBorder="1"/>
    <xf numFmtId="0" fontId="22" fillId="0" borderId="0" xfId="0" applyFont="1"/>
    <xf numFmtId="2" fontId="21" fillId="0" borderId="0" xfId="44" applyNumberFormat="1" applyFont="1"/>
    <xf numFmtId="164" fontId="21" fillId="0" borderId="0" xfId="42" applyNumberFormat="1" applyFont="1"/>
    <xf numFmtId="2" fontId="21" fillId="0" borderId="16" xfId="0" applyNumberFormat="1" applyFont="1" applyBorder="1"/>
    <xf numFmtId="1" fontId="21" fillId="0" borderId="0" xfId="0" applyNumberFormat="1" applyFont="1"/>
    <xf numFmtId="49" fontId="21" fillId="0" borderId="0" xfId="0" applyNumberFormat="1" applyFont="1"/>
    <xf numFmtId="0" fontId="26" fillId="0" borderId="0" xfId="0" applyFont="1"/>
    <xf numFmtId="0" fontId="27" fillId="0" borderId="0" xfId="0" applyFont="1"/>
    <xf numFmtId="0" fontId="20" fillId="0" borderId="0" xfId="0" applyFont="1" applyAlignment="1">
      <alignment wrapText="1"/>
    </xf>
    <xf numFmtId="0" fontId="28" fillId="0" borderId="0" xfId="43" applyFont="1" applyAlignment="1">
      <alignment wrapText="1"/>
    </xf>
    <xf numFmtId="0" fontId="24" fillId="0" borderId="0" xfId="0" applyFont="1" applyAlignment="1">
      <alignment horizontal="left" wrapText="1"/>
    </xf>
    <xf numFmtId="0" fontId="26" fillId="33" borderId="19" xfId="0" applyFont="1" applyFill="1" applyBorder="1"/>
    <xf numFmtId="0" fontId="26" fillId="0" borderId="18" xfId="0" applyFont="1" applyBorder="1"/>
    <xf numFmtId="0" fontId="24" fillId="0" borderId="0" xfId="0" applyFont="1" applyAlignment="1">
      <alignment horizontal="left"/>
    </xf>
    <xf numFmtId="0" fontId="24" fillId="0" borderId="0" xfId="0" applyFont="1" applyAlignment="1">
      <alignment wrapText="1"/>
    </xf>
    <xf numFmtId="0" fontId="24" fillId="0" borderId="0" xfId="0" applyFont="1"/>
    <xf numFmtId="2" fontId="22" fillId="0" borderId="0" xfId="0" applyNumberFormat="1" applyFont="1" applyAlignment="1">
      <alignment horizontal="center" wrapText="1"/>
    </xf>
    <xf numFmtId="0" fontId="26" fillId="33" borderId="20" xfId="0" applyFont="1" applyFill="1" applyBorder="1" applyAlignment="1" applyProtection="1">
      <alignment horizontal="left"/>
      <protection locked="0"/>
    </xf>
    <xf numFmtId="0" fontId="21" fillId="0" borderId="0" xfId="0" applyFont="1" applyProtection="1">
      <protection locked="0"/>
    </xf>
    <xf numFmtId="0" fontId="21" fillId="0" borderId="0" xfId="0" applyFont="1" applyAlignment="1">
      <alignment horizontal="left"/>
    </xf>
    <xf numFmtId="0" fontId="0" fillId="0" borderId="0" xfId="0" applyAlignment="1">
      <alignment horizontal="left"/>
    </xf>
    <xf numFmtId="0" fontId="24" fillId="0" borderId="0" xfId="0" applyFont="1" applyAlignment="1">
      <alignment horizontal="left"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4"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00">
    <dxf>
      <font>
        <strike val="0"/>
        <outline val="0"/>
        <shadow val="0"/>
        <u val="none"/>
        <vertAlign val="baseline"/>
        <sz val="12"/>
        <color theme="1"/>
        <name val="Calibri"/>
        <family val="2"/>
        <scheme val="minor"/>
      </font>
      <numFmt numFmtId="0" formatCode="General"/>
    </dxf>
    <dxf>
      <font>
        <strike val="0"/>
        <outline val="0"/>
        <shadow val="0"/>
        <u val="none"/>
        <vertAlign val="baseline"/>
        <sz val="12"/>
        <color theme="1"/>
        <name val="Calibri"/>
        <family val="2"/>
        <scheme val="minor"/>
      </font>
      <numFmt numFmtId="1" formatCode="0"/>
    </dxf>
    <dxf>
      <font>
        <b val="0"/>
        <i val="0"/>
        <strike val="0"/>
        <condense val="0"/>
        <extend val="0"/>
        <outline val="0"/>
        <shadow val="0"/>
        <u val="none"/>
        <vertAlign val="baseline"/>
        <sz val="12"/>
        <color theme="1"/>
        <name val="Calibri"/>
        <family val="2"/>
        <scheme val="minor"/>
      </font>
      <numFmt numFmtId="0" formatCode="General"/>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0" formatCode="General"/>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numFmt numFmtId="1" formatCode="0"/>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strike val="0"/>
        <outline val="0"/>
        <shadow val="0"/>
        <u val="none"/>
        <vertAlign val="baseline"/>
        <sz val="12"/>
        <color theme="1"/>
        <name val="Calibri"/>
        <family val="2"/>
        <scheme val="minor"/>
      </font>
      <alignment horizontal="general" vertical="bottom" textRotation="0" wrapText="1" indent="0" justifyLastLine="0" shrinkToFit="0" readingOrder="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rgb="FF000000"/>
        <name val="Calibri"/>
        <family val="2"/>
        <scheme val="none"/>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rgb="FF000000"/>
        <name val="Calibri"/>
        <family val="2"/>
        <scheme val="none"/>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rgb="FF000000"/>
        <name val="Calibri"/>
        <family val="2"/>
        <scheme val="none"/>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rgb="FF000000"/>
        <name val="Calibri"/>
        <family val="2"/>
        <scheme val="none"/>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rgb="FF000000"/>
        <name val="Calibri"/>
        <family val="2"/>
        <scheme val="none"/>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rgb="FF000000"/>
        <name val="Calibri"/>
        <family val="2"/>
        <scheme val="none"/>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rgb="FF000000"/>
        <name val="Calibri"/>
        <family val="2"/>
        <scheme val="none"/>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rgb="FF000000"/>
        <name val="Calibri"/>
        <family val="2"/>
        <scheme val="none"/>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rgb="FF000000"/>
        <name val="Calibri"/>
        <family val="2"/>
        <scheme val="none"/>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rgb="FF000000"/>
        <name val="Calibri"/>
        <family val="2"/>
        <scheme val="none"/>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numFmt numFmtId="13" formatCode="0%"/>
    </dxf>
    <dxf>
      <font>
        <strike val="0"/>
        <outline val="0"/>
        <shadow val="0"/>
        <u val="none"/>
        <vertAlign val="baseline"/>
        <sz val="12"/>
        <color theme="1"/>
        <name val="Calibri"/>
        <family val="2"/>
        <scheme val="minor"/>
      </font>
      <numFmt numFmtId="1" formatCode="0"/>
    </dxf>
    <dxf>
      <font>
        <strike val="0"/>
        <outline val="0"/>
        <shadow val="0"/>
        <u val="none"/>
        <vertAlign val="baseline"/>
        <sz val="12"/>
        <color theme="1"/>
        <name val="Calibri"/>
        <family val="2"/>
        <scheme val="minor"/>
      </font>
    </dxf>
    <dxf>
      <font>
        <strike val="0"/>
        <outline val="0"/>
        <shadow val="0"/>
        <u val="none"/>
        <vertAlign val="baseline"/>
        <sz val="12"/>
        <color rgb="FF000000"/>
        <name val="Calibri"/>
        <family val="2"/>
        <scheme val="none"/>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rgb="FF000000"/>
        <name val="Calibri"/>
        <family val="2"/>
        <scheme val="none"/>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rgb="FF000000"/>
        <name val="Calibri"/>
        <family val="2"/>
        <scheme val="none"/>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numFmt numFmtId="13" formatCode="0%"/>
    </dxf>
    <dxf>
      <font>
        <strike val="0"/>
        <outline val="0"/>
        <shadow val="0"/>
        <u val="none"/>
        <vertAlign val="baseline"/>
        <sz val="12"/>
        <color theme="1"/>
        <name val="Calibri"/>
        <family val="2"/>
        <scheme val="minor"/>
      </font>
      <numFmt numFmtId="1" formatCode="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1"/>
        <color theme="1"/>
        <name val="Calibri"/>
        <family val="2"/>
        <scheme val="minor"/>
      </font>
    </dxf>
    <dxf>
      <numFmt numFmtId="2" formatCode="0.0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numFmt numFmtId="1" formatCode="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numFmt numFmtId="1" formatCode="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numFmt numFmtId="1" formatCode="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numFmt numFmtId="1" formatCode="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numFmt numFmtId="1" formatCode="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numFmt numFmtId="1" formatCode="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numFmt numFmtId="1" formatCode="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numFmt numFmtId="1" formatCode="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numFmt numFmtId="1" formatCode="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r>
              <a:rPr lang="en-US" sz="1800" baseline="0">
                <a:solidFill>
                  <a:sysClr val="windowText" lastClr="000000"/>
                </a:solidFill>
              </a:rPr>
              <a:t>1. Responses by County</a:t>
            </a:r>
          </a:p>
        </c:rich>
      </c:tx>
      <c:overlay val="0"/>
      <c:spPr>
        <a:noFill/>
        <a:ln>
          <a:noFill/>
        </a:ln>
        <a:effectLst/>
      </c:spPr>
      <c:txPr>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'Regional Overview'!$B$7</c:f>
              <c:strCache>
                <c:ptCount val="1"/>
                <c:pt idx="0">
                  <c:v>Responses by Location</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841-4C1F-911A-BA5901ECFBD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841-4C1F-911A-BA5901ECFBD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841-4C1F-911A-BA5901ECFBD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841-4C1F-911A-BA5901ECFBD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841-4C1F-911A-BA5901ECFBD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4-3421-43F8-94CD-29A61EFE375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6-3421-43F8-94CD-29A61EFE375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5-3421-43F8-94CD-29A61EFE375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3A3-4E09-B32A-5928EB73D1A5}"/>
              </c:ext>
            </c:extLst>
          </c:dPt>
          <c:dLbls>
            <c:dLbl>
              <c:idx val="0"/>
              <c:layout>
                <c:manualLayout>
                  <c:x val="9.2606732310347564E-2"/>
                  <c:y val="4.581433742235555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841-4C1F-911A-BA5901ECFBD1}"/>
                </c:ext>
              </c:extLst>
            </c:dLbl>
            <c:dLbl>
              <c:idx val="1"/>
              <c:layout>
                <c:manualLayout>
                  <c:x val="0.17391482722017776"/>
                  <c:y val="-3.278356020629193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3068173893535209"/>
                      <c:h val="9.3179339455682769E-2"/>
                    </c:manualLayout>
                  </c15:layout>
                </c:ext>
                <c:ext xmlns:c16="http://schemas.microsoft.com/office/drawing/2014/chart" uri="{C3380CC4-5D6E-409C-BE32-E72D297353CC}">
                  <c16:uniqueId val="{00000003-2841-4C1F-911A-BA5901ECFBD1}"/>
                </c:ext>
              </c:extLst>
            </c:dLbl>
            <c:dLbl>
              <c:idx val="2"/>
              <c:layout>
                <c:manualLayout>
                  <c:x val="3.6351332825900376E-2"/>
                  <c:y val="-9.714083119415552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841-4C1F-911A-BA5901ECFBD1}"/>
                </c:ext>
              </c:extLst>
            </c:dLbl>
            <c:dLbl>
              <c:idx val="3"/>
              <c:layout>
                <c:manualLayout>
                  <c:x val="3.9331375268172875E-2"/>
                  <c:y val="3.071299754839957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841-4C1F-911A-BA5901ECFBD1}"/>
                </c:ext>
              </c:extLst>
            </c:dLbl>
            <c:dLbl>
              <c:idx val="5"/>
              <c:layout>
                <c:manualLayout>
                  <c:x val="-0.15787586512748483"/>
                  <c:y val="6.80238248002326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4-3421-43F8-94CD-29A61EFE375D}"/>
                </c:ext>
              </c:extLst>
            </c:dLbl>
            <c:dLbl>
              <c:idx val="6"/>
              <c:layout>
                <c:manualLayout>
                  <c:x val="-0.20423650123790402"/>
                  <c:y val="2.55063308025214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3421-43F8-94CD-29A61EFE375D}"/>
                </c:ext>
              </c:extLst>
            </c:dLbl>
            <c:dLbl>
              <c:idx val="7"/>
              <c:layout>
                <c:manualLayout>
                  <c:x val="-6.9991362982318325E-2"/>
                  <c:y val="-4.7105299613506898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3421-43F8-94CD-29A61EFE375D}"/>
                </c:ext>
              </c:extLst>
            </c:dLbl>
            <c:dLbl>
              <c:idx val="8"/>
              <c:layout>
                <c:manualLayout>
                  <c:x val="-1.1828054125310876E-2"/>
                  <c:y val="-1.587066938522781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73A3-4E09-B32A-5928EB73D1A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'Regional Overview'!$A$8:$A$16</c:f>
              <c:strCache>
                <c:ptCount val="9"/>
                <c:pt idx="0">
                  <c:v>Alameda</c:v>
                </c:pt>
                <c:pt idx="1">
                  <c:v>Contra Costa</c:v>
                </c:pt>
                <c:pt idx="2">
                  <c:v>Marin</c:v>
                </c:pt>
                <c:pt idx="3">
                  <c:v>Napa</c:v>
                </c:pt>
                <c:pt idx="4">
                  <c:v>San Francisco</c:v>
                </c:pt>
                <c:pt idx="5">
                  <c:v>San Mateo</c:v>
                </c:pt>
                <c:pt idx="6">
                  <c:v>Santa Clara</c:v>
                </c:pt>
                <c:pt idx="7">
                  <c:v>Solano</c:v>
                </c:pt>
                <c:pt idx="8">
                  <c:v>Sonoma</c:v>
                </c:pt>
              </c:strCache>
            </c:strRef>
          </c:cat>
          <c:val>
            <c:numRef>
              <c:f>'Regional Overview'!$B$8:$B$16</c:f>
              <c:numCache>
                <c:formatCode>General</c:formatCode>
                <c:ptCount val="9"/>
                <c:pt idx="0">
                  <c:v>52</c:v>
                </c:pt>
                <c:pt idx="1">
                  <c:v>131</c:v>
                </c:pt>
                <c:pt idx="2">
                  <c:v>20</c:v>
                </c:pt>
                <c:pt idx="3">
                  <c:v>4</c:v>
                </c:pt>
                <c:pt idx="4">
                  <c:v>34</c:v>
                </c:pt>
                <c:pt idx="5">
                  <c:v>124</c:v>
                </c:pt>
                <c:pt idx="6">
                  <c:v>192</c:v>
                </c:pt>
                <c:pt idx="7">
                  <c:v>18</c:v>
                </c:pt>
                <c:pt idx="8">
                  <c:v>30</c:v>
                </c:pt>
              </c:numCache>
            </c:numRef>
          </c:val>
          <c:extLst>
            <c:ext xmlns:c16="http://schemas.microsoft.com/office/drawing/2014/chart" uri="{C3380CC4-5D6E-409C-BE32-E72D297353CC}">
              <c16:uniqueId val="{00000000-B273-4D6D-96CE-25784D27B4D2}"/>
            </c:ext>
          </c:extLst>
        </c:ser>
        <c:ser>
          <c:idx val="1"/>
          <c:order val="1"/>
          <c:tx>
            <c:strRef>
              <c:f>'Regional Overview'!$C$7</c:f>
              <c:strCache>
                <c:ptCount val="1"/>
                <c:pt idx="0">
                  <c:v>Percent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B-2841-4C1F-911A-BA5901ECFBD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D-2841-4C1F-911A-BA5901ECFBD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F-2841-4C1F-911A-BA5901ECFBD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1-2841-4C1F-911A-BA5901ECFBD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3-2841-4C1F-911A-BA5901ECFBD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B-2957-47DA-916A-A4164CC76EA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D-2957-47DA-916A-A4164CC76EA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F-2957-47DA-916A-A4164CC76EA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3-73A3-4E09-B32A-5928EB73D1A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'Regional Overview'!$A$8:$A$16</c:f>
              <c:strCache>
                <c:ptCount val="9"/>
                <c:pt idx="0">
                  <c:v>Alameda</c:v>
                </c:pt>
                <c:pt idx="1">
                  <c:v>Contra Costa</c:v>
                </c:pt>
                <c:pt idx="2">
                  <c:v>Marin</c:v>
                </c:pt>
                <c:pt idx="3">
                  <c:v>Napa</c:v>
                </c:pt>
                <c:pt idx="4">
                  <c:v>San Francisco</c:v>
                </c:pt>
                <c:pt idx="5">
                  <c:v>San Mateo</c:v>
                </c:pt>
                <c:pt idx="6">
                  <c:v>Santa Clara</c:v>
                </c:pt>
                <c:pt idx="7">
                  <c:v>Solano</c:v>
                </c:pt>
                <c:pt idx="8">
                  <c:v>Sonoma</c:v>
                </c:pt>
              </c:strCache>
            </c:strRef>
          </c:cat>
          <c:val>
            <c:numRef>
              <c:f>'Regional Overview'!$C$8:$C$16</c:f>
              <c:numCache>
                <c:formatCode>0%</c:formatCode>
                <c:ptCount val="9"/>
                <c:pt idx="0">
                  <c:v>8.5950413223140495E-2</c:v>
                </c:pt>
                <c:pt idx="1">
                  <c:v>0.21652892561983472</c:v>
                </c:pt>
                <c:pt idx="2">
                  <c:v>3.3057851239669422E-2</c:v>
                </c:pt>
                <c:pt idx="3">
                  <c:v>6.6115702479338841E-3</c:v>
                </c:pt>
                <c:pt idx="4">
                  <c:v>5.6198347107438019E-2</c:v>
                </c:pt>
                <c:pt idx="5">
                  <c:v>0.20495867768595041</c:v>
                </c:pt>
                <c:pt idx="6">
                  <c:v>0.31735537190082647</c:v>
                </c:pt>
                <c:pt idx="7">
                  <c:v>2.9752066115702479E-2</c:v>
                </c:pt>
                <c:pt idx="8">
                  <c:v>4.9586776859504134E-2</c:v>
                </c:pt>
              </c:numCache>
            </c:numRef>
          </c:val>
          <c:extLst>
            <c:ext xmlns:c16="http://schemas.microsoft.com/office/drawing/2014/chart" uri="{C3380CC4-5D6E-409C-BE32-E72D297353CC}">
              <c16:uniqueId val="{00000001-B273-4D6D-96CE-25784D27B4D2}"/>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3. ADU Residential or Non-Residential Use</a:t>
            </a:r>
          </a:p>
        </c:rich>
      </c:tx>
      <c:layout>
        <c:manualLayout>
          <c:xMode val="edge"/>
          <c:yMode val="edge"/>
          <c:x val="0.32547176447607534"/>
          <c:y val="1.831233594340767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tx>
            <c:strRef>
              <c:f>'Regional Overview'!$B$28</c:f>
              <c:strCache>
                <c:ptCount val="1"/>
                <c:pt idx="0">
                  <c:v>Count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D7-4DD8-BAF5-CD174F8FD20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D7-4DD8-BAF5-CD174F8FD205}"/>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'Regional Overview'!$A$29:$A$30</c:f>
              <c:strCache>
                <c:ptCount val="2"/>
                <c:pt idx="0">
                  <c:v>Yes, this unit will be used for housing.</c:v>
                </c:pt>
                <c:pt idx="1">
                  <c:v>No, this unit will not be used for housing.</c:v>
                </c:pt>
              </c:strCache>
            </c:strRef>
          </c:cat>
          <c:val>
            <c:numRef>
              <c:f>'Regional Overview'!$B$29:$B$30</c:f>
              <c:numCache>
                <c:formatCode>General</c:formatCode>
                <c:ptCount val="2"/>
                <c:pt idx="0">
                  <c:v>562</c:v>
                </c:pt>
                <c:pt idx="1">
                  <c:v>43</c:v>
                </c:pt>
              </c:numCache>
            </c:numRef>
          </c:val>
          <c:extLst>
            <c:ext xmlns:c16="http://schemas.microsoft.com/office/drawing/2014/chart" uri="{C3380CC4-5D6E-409C-BE32-E72D297353CC}">
              <c16:uniqueId val="{00000008-B2D7-4DD8-BAF5-CD174F8FD205}"/>
            </c:ext>
          </c:extLst>
        </c:ser>
        <c:ser>
          <c:idx val="1"/>
          <c:order val="1"/>
          <c:tx>
            <c:strRef>
              <c:f>'Regional Overview'!$C$33</c:f>
              <c:strCache>
                <c:ptCount val="1"/>
                <c:pt idx="0">
                  <c:v>Percent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B2D7-4DD8-BAF5-CD174F8FD20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B2D7-4DD8-BAF5-CD174F8FD20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B2D7-4DD8-BAF5-CD174F8FD20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B2D7-4DD8-BAF5-CD174F8FD20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'Regional Overview'!$A$29:$A$30</c:f>
              <c:strCache>
                <c:ptCount val="2"/>
                <c:pt idx="0">
                  <c:v>Yes, this unit will be used for housing.</c:v>
                </c:pt>
                <c:pt idx="1">
                  <c:v>No, this unit will not be used for housing.</c:v>
                </c:pt>
              </c:strCache>
            </c:strRef>
          </c:cat>
          <c:val>
            <c:numRef>
              <c:f>'Regional Overview'!$C$34:$C$37</c:f>
              <c:numCache>
                <c:formatCode>0%</c:formatCode>
                <c:ptCount val="4"/>
                <c:pt idx="0">
                  <c:v>0.20661157024793389</c:v>
                </c:pt>
                <c:pt idx="1">
                  <c:v>0.43471074380165287</c:v>
                </c:pt>
                <c:pt idx="2">
                  <c:v>0.33719008264462808</c:v>
                </c:pt>
                <c:pt idx="3">
                  <c:v>2.1487603305785124E-2</c:v>
                </c:pt>
              </c:numCache>
            </c:numRef>
          </c:val>
          <c:extLst>
            <c:ext xmlns:c16="http://schemas.microsoft.com/office/drawing/2014/chart" uri="{C3380CC4-5D6E-409C-BE32-E72D297353CC}">
              <c16:uniqueId val="{00000011-B2D7-4DD8-BAF5-CD174F8FD205}"/>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1. ADU Occupants</a:t>
            </a:r>
          </a:p>
        </c:rich>
      </c:tx>
      <c:layout>
        <c:manualLayout>
          <c:xMode val="edge"/>
          <c:yMode val="edge"/>
          <c:x val="0.29004155730533676"/>
          <c:y val="2.5974025974025976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1"/>
          <c:order val="1"/>
          <c:tx>
            <c:strRef>
              <c:f>'County Overview'!$C$10</c:f>
              <c:strCache>
                <c:ptCount val="1"/>
                <c:pt idx="0">
                  <c:v>Percent of Responses</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'County Overview'!$A$11:$A$15</c:f>
              <c:strCache>
                <c:ptCount val="5"/>
                <c:pt idx="0">
                  <c:v>Family</c:v>
                </c:pt>
                <c:pt idx="1">
                  <c:v>Renter</c:v>
                </c:pt>
                <c:pt idx="2">
                  <c:v>Myself</c:v>
                </c:pt>
                <c:pt idx="3">
                  <c:v>Friend</c:v>
                </c:pt>
                <c:pt idx="4">
                  <c:v>Not using for Housing</c:v>
                </c:pt>
              </c:strCache>
            </c:strRef>
          </c:cat>
          <c:val>
            <c:numRef>
              <c:f>'County Overview'!$C$11:$C$15</c:f>
              <c:numCache>
                <c:formatCode>0%</c:formatCode>
                <c:ptCount val="5"/>
                <c:pt idx="0">
                  <c:v>0.55769230769230771</c:v>
                </c:pt>
                <c:pt idx="1">
                  <c:v>0.30769230769230771</c:v>
                </c:pt>
                <c:pt idx="2">
                  <c:v>0.11538461538461539</c:v>
                </c:pt>
                <c:pt idx="3">
                  <c:v>3.8461538461538464E-2</c:v>
                </c:pt>
                <c:pt idx="4">
                  <c:v>0.11538461538461539</c:v>
                </c:pt>
              </c:numCache>
            </c:numRef>
          </c:val>
          <c:extLst>
            <c:ext xmlns:c16="http://schemas.microsoft.com/office/drawing/2014/chart" uri="{C3380CC4-5D6E-409C-BE32-E72D297353CC}">
              <c16:uniqueId val="{00000000-C22F-4CF6-BDE0-95287536BB7B}"/>
            </c:ext>
          </c:extLst>
        </c:ser>
        <c:dLbls>
          <c:showLegendKey val="0"/>
          <c:showVal val="0"/>
          <c:showCatName val="0"/>
          <c:showSerName val="0"/>
          <c:showPercent val="0"/>
          <c:showBubbleSize val="0"/>
        </c:dLbls>
        <c:gapWidth val="219"/>
        <c:overlap val="-27"/>
        <c:axId val="17839135"/>
        <c:axId val="17839551"/>
        <c:extLst>
          <c:ext xmlns:c15="http://schemas.microsoft.com/office/drawing/2012/chart" uri="{02D57815-91ED-43cb-92C2-25804820EDAC}">
            <c15:filteredBarSeries>
              <c15:ser>
                <c:idx val="0"/>
                <c:order val="0"/>
                <c:tx>
                  <c:strRef>
                    <c:extLst>
                      <c:ext uri="{02D57815-91ED-43cb-92C2-25804820EDAC}">
                        <c15:formulaRef>
                          <c15:sqref>'County Overview'!$B$10</c15:sqref>
                        </c15:formulaRef>
                      </c:ext>
                    </c:extLst>
                    <c:strCache>
                      <c:ptCount val="1"/>
                      <c:pt idx="0">
                        <c:v>Responses</c:v>
                      </c:pt>
                    </c:strCache>
                  </c:strRef>
                </c:tx>
                <c:spPr>
                  <a:solidFill>
                    <a:schemeClr val="accent1"/>
                  </a:solidFill>
                  <a:ln>
                    <a:noFill/>
                  </a:ln>
                  <a:effectLst/>
                </c:spPr>
                <c:invertIfNegative val="0"/>
                <c:cat>
                  <c:strRef>
                    <c:extLst>
                      <c:ext uri="{02D57815-91ED-43cb-92C2-25804820EDAC}">
                        <c15:formulaRef>
                          <c15:sqref>'County Overview'!$A$11:$A$15</c15:sqref>
                        </c15:formulaRef>
                      </c:ext>
                    </c:extLst>
                    <c:strCache>
                      <c:ptCount val="5"/>
                      <c:pt idx="0">
                        <c:v>Family</c:v>
                      </c:pt>
                      <c:pt idx="1">
                        <c:v>Renter</c:v>
                      </c:pt>
                      <c:pt idx="2">
                        <c:v>Myself</c:v>
                      </c:pt>
                      <c:pt idx="3">
                        <c:v>Friend</c:v>
                      </c:pt>
                      <c:pt idx="4">
                        <c:v>Not using for Housing</c:v>
                      </c:pt>
                    </c:strCache>
                  </c:strRef>
                </c:cat>
                <c:val>
                  <c:numRef>
                    <c:extLst>
                      <c:ext uri="{02D57815-91ED-43cb-92C2-25804820EDAC}">
                        <c15:formulaRef>
                          <c15:sqref>'County Overview'!$B$11:$B$15</c15:sqref>
                        </c15:formulaRef>
                      </c:ext>
                    </c:extLst>
                    <c:numCache>
                      <c:formatCode>General</c:formatCode>
                      <c:ptCount val="5"/>
                      <c:pt idx="0">
                        <c:v>29</c:v>
                      </c:pt>
                      <c:pt idx="1">
                        <c:v>16</c:v>
                      </c:pt>
                      <c:pt idx="2">
                        <c:v>6</c:v>
                      </c:pt>
                      <c:pt idx="3">
                        <c:v>2</c:v>
                      </c:pt>
                      <c:pt idx="4">
                        <c:v>6</c:v>
                      </c:pt>
                    </c:numCache>
                  </c:numRef>
                </c:val>
                <c:extLst>
                  <c:ext xmlns:c16="http://schemas.microsoft.com/office/drawing/2014/chart" uri="{C3380CC4-5D6E-409C-BE32-E72D297353CC}">
                    <c16:uniqueId val="{00000001-C22F-4CF6-BDE0-95287536BB7B}"/>
                  </c:ext>
                </c:extLst>
              </c15:ser>
            </c15:filteredBarSeries>
          </c:ext>
        </c:extLst>
      </c:barChart>
      <c:catAx>
        <c:axId val="17839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17839551"/>
        <c:crosses val="autoZero"/>
        <c:auto val="1"/>
        <c:lblAlgn val="ctr"/>
        <c:lblOffset val="100"/>
        <c:noMultiLvlLbl val="0"/>
      </c:catAx>
      <c:valAx>
        <c:axId val="178395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39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4. ADU Size by Square Footage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pieChart>
        <c:varyColors val="1"/>
        <c:ser>
          <c:idx val="1"/>
          <c:order val="1"/>
          <c:tx>
            <c:strRef>
              <c:f>'County Overview'!$C$30</c:f>
              <c:strCache>
                <c:ptCount val="1"/>
                <c:pt idx="0">
                  <c:v>Percent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366-4418-B724-79880E0ACD6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366-4418-B724-79880E0ACD6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366-4418-B724-79880E0ACD6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366-4418-B724-79880E0ACD6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366-4418-B724-79880E0ACD6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366-4418-B724-79880E0ACD68}"/>
              </c:ext>
            </c:extLst>
          </c:dPt>
          <c:dLbls>
            <c:dLbl>
              <c:idx val="0"/>
              <c:layout>
                <c:manualLayout>
                  <c:x val="1.6890578815608247E-2"/>
                  <c:y val="4.56169885400262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366-4418-B724-79880E0ACD68}"/>
                </c:ext>
              </c:extLst>
            </c:dLbl>
            <c:dLbl>
              <c:idx val="1"/>
              <c:layout>
                <c:manualLayout>
                  <c:x val="-0.12470879466884434"/>
                  <c:y val="-8.56373720198313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366-4418-B724-79880E0ACD68}"/>
                </c:ext>
              </c:extLst>
            </c:dLbl>
            <c:dLbl>
              <c:idx val="2"/>
              <c:layout>
                <c:manualLayout>
                  <c:x val="-2.3583614172131666E-2"/>
                  <c:y val="8.08185258712468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366-4418-B724-79880E0ACD68}"/>
                </c:ext>
              </c:extLst>
            </c:dLbl>
            <c:dLbl>
              <c:idx val="3"/>
              <c:layout>
                <c:manualLayout>
                  <c:x val="-0.24072047619276229"/>
                  <c:y val="3.004884944749773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366-4418-B724-79880E0ACD68}"/>
                </c:ext>
              </c:extLst>
            </c:dLbl>
            <c:dLbl>
              <c:idx val="4"/>
              <c:layout>
                <c:manualLayout>
                  <c:x val="7.8630647478760019E-3"/>
                  <c:y val="-7.1543358550479486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366-4418-B724-79880E0ACD68}"/>
                </c:ext>
              </c:extLst>
            </c:dLbl>
            <c:dLbl>
              <c:idx val="5"/>
              <c:layout>
                <c:manualLayout>
                  <c:x val="0.25553633277925786"/>
                  <c:y val="4.02764205483571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366-4418-B724-79880E0ACD6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'County Overview'!$A$31:$A$36</c:f>
              <c:strCache>
                <c:ptCount val="6"/>
                <c:pt idx="0">
                  <c:v>Less than or equal to 500 sf</c:v>
                </c:pt>
                <c:pt idx="1">
                  <c:v>501 - 750 sf</c:v>
                </c:pt>
                <c:pt idx="2">
                  <c:v>751 - 1,000 sf</c:v>
                </c:pt>
                <c:pt idx="3">
                  <c:v>1,001 - 1,250 sf</c:v>
                </c:pt>
                <c:pt idx="4">
                  <c:v>1,251 + sf</c:v>
                </c:pt>
                <c:pt idx="5">
                  <c:v>Did not answer</c:v>
                </c:pt>
              </c:strCache>
            </c:strRef>
          </c:cat>
          <c:val>
            <c:numRef>
              <c:f>'County Overview'!$C$31:$C$36</c:f>
              <c:numCache>
                <c:formatCode>0%</c:formatCode>
                <c:ptCount val="6"/>
                <c:pt idx="0">
                  <c:v>0.42307692307692307</c:v>
                </c:pt>
                <c:pt idx="1">
                  <c:v>0.34615384615384615</c:v>
                </c:pt>
                <c:pt idx="2">
                  <c:v>0.23076923076923078</c:v>
                </c:pt>
                <c:pt idx="3">
                  <c:v>0</c:v>
                </c:pt>
                <c:pt idx="4">
                  <c:v>0</c:v>
                </c:pt>
                <c:pt idx="5">
                  <c:v>0</c:v>
                </c:pt>
              </c:numCache>
            </c:numRef>
          </c:val>
          <c:extLst>
            <c:ext xmlns:c16="http://schemas.microsoft.com/office/drawing/2014/chart" uri="{C3380CC4-5D6E-409C-BE32-E72D297353CC}">
              <c16:uniqueId val="{0000000C-6366-4418-B724-79880E0ACD68}"/>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'County Overview'!$B$30</c15:sqref>
                        </c15:formulaRef>
                      </c:ext>
                    </c:extLst>
                    <c:strCache>
                      <c:ptCount val="1"/>
                      <c:pt idx="0">
                        <c:v>Count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E-6366-4418-B724-79880E0ACD6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0-6366-4418-B724-79880E0ACD6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2-6366-4418-B724-79880E0ACD6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4-6366-4418-B724-79880E0ACD6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6-6366-4418-B724-79880E0ACD6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8-6366-4418-B724-79880E0ACD6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'County Overview'!$A$31:$A$36</c15:sqref>
                        </c15:formulaRef>
                      </c:ext>
                    </c:extLst>
                    <c:strCache>
                      <c:ptCount val="6"/>
                      <c:pt idx="0">
                        <c:v>Less than or equal to 500 sf</c:v>
                      </c:pt>
                      <c:pt idx="1">
                        <c:v>501 - 750 sf</c:v>
                      </c:pt>
                      <c:pt idx="2">
                        <c:v>751 - 1,000 sf</c:v>
                      </c:pt>
                      <c:pt idx="3">
                        <c:v>1,001 - 1,250 sf</c:v>
                      </c:pt>
                      <c:pt idx="4">
                        <c:v>1,251 + sf</c:v>
                      </c:pt>
                      <c:pt idx="5">
                        <c:v>Did not answer</c:v>
                      </c:pt>
                    </c:strCache>
                  </c:strRef>
                </c:cat>
                <c:val>
                  <c:numRef>
                    <c:extLst>
                      <c:ext uri="{02D57815-91ED-43cb-92C2-25804820EDAC}">
                        <c15:formulaRef>
                          <c15:sqref>'County Overview'!$B$31:$B$36</c15:sqref>
                        </c15:formulaRef>
                      </c:ext>
                    </c:extLst>
                    <c:numCache>
                      <c:formatCode>General</c:formatCode>
                      <c:ptCount val="6"/>
                      <c:pt idx="0">
                        <c:v>22</c:v>
                      </c:pt>
                      <c:pt idx="1">
                        <c:v>18</c:v>
                      </c:pt>
                      <c:pt idx="2">
                        <c:v>12</c:v>
                      </c:pt>
                      <c:pt idx="3">
                        <c:v>0</c:v>
                      </c:pt>
                      <c:pt idx="4">
                        <c:v>0</c:v>
                      </c:pt>
                      <c:pt idx="5">
                        <c:v>0</c:v>
                      </c:pt>
                    </c:numCache>
                  </c:numRef>
                </c:val>
                <c:extLst>
                  <c:ext xmlns:c16="http://schemas.microsoft.com/office/drawing/2014/chart" uri="{C3380CC4-5D6E-409C-BE32-E72D297353CC}">
                    <c16:uniqueId val="{00000019-6366-4418-B724-79880E0ACD68}"/>
                  </c:ext>
                </c:extLst>
              </c15:ser>
            </c15:filteredPieSeries>
          </c:ext>
        </c:extLst>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5b. Percent of ADUs by Affordability Level</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'County Overview'!$C$39</c:f>
              <c:strCache>
                <c:ptCount val="1"/>
                <c:pt idx="0">
                  <c:v>Percent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'County Overview'!$A$40:$A$44</c:f>
              <c:strCache>
                <c:ptCount val="5"/>
                <c:pt idx="0">
                  <c:v>Zero Rent / Extremely Low Income Units</c:v>
                </c:pt>
                <c:pt idx="1">
                  <c:v>Very Low Income Units</c:v>
                </c:pt>
                <c:pt idx="2">
                  <c:v>Low Income Units</c:v>
                </c:pt>
                <c:pt idx="3">
                  <c:v>Moderate Income Units</c:v>
                </c:pt>
                <c:pt idx="4">
                  <c:v>Above Moderate Units</c:v>
                </c:pt>
              </c:strCache>
            </c:strRef>
          </c:cat>
          <c:val>
            <c:numRef>
              <c:f>'County Overview'!$C$40:$C$44</c:f>
              <c:numCache>
                <c:formatCode>0%</c:formatCode>
                <c:ptCount val="5"/>
                <c:pt idx="0">
                  <c:v>0.56694750000000005</c:v>
                </c:pt>
                <c:pt idx="1">
                  <c:v>9.2621638276553092E-2</c:v>
                </c:pt>
                <c:pt idx="2">
                  <c:v>0.20881763527054104</c:v>
                </c:pt>
                <c:pt idx="3">
                  <c:v>0.13161322645290582</c:v>
                </c:pt>
                <c:pt idx="4">
                  <c:v>0</c:v>
                </c:pt>
              </c:numCache>
            </c:numRef>
          </c:val>
          <c:extLst>
            <c:ext xmlns:c16="http://schemas.microsoft.com/office/drawing/2014/chart" uri="{C3380CC4-5D6E-409C-BE32-E72D297353CC}">
              <c16:uniqueId val="{00000000-D105-44B6-9228-2B85C646FF83}"/>
            </c:ext>
          </c:extLst>
        </c:ser>
        <c:dLbls>
          <c:showLegendKey val="0"/>
          <c:showVal val="0"/>
          <c:showCatName val="0"/>
          <c:showSerName val="0"/>
          <c:showPercent val="0"/>
          <c:showBubbleSize val="0"/>
        </c:dLbls>
        <c:gapWidth val="219"/>
        <c:overlap val="-27"/>
        <c:axId val="17862015"/>
        <c:axId val="17881983"/>
      </c:barChart>
      <c:catAx>
        <c:axId val="17862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81983"/>
        <c:crosses val="autoZero"/>
        <c:auto val="1"/>
        <c:lblAlgn val="ctr"/>
        <c:lblOffset val="100"/>
        <c:noMultiLvlLbl val="0"/>
      </c:catAx>
      <c:valAx>
        <c:axId val="1788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62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3. ADU Size by Number of Bedrooms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tx>
            <c:strRef>
              <c:f>'County Overview'!$B$23</c:f>
              <c:strCache>
                <c:ptCount val="1"/>
                <c:pt idx="0">
                  <c:v>Count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86D-49A3-A2D5-1C10E899E6B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86D-49A3-A2D5-1C10E899E6B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86D-49A3-A2D5-1C10E899E6B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86D-49A3-A2D5-1C10E899E6B1}"/>
              </c:ext>
            </c:extLst>
          </c:dPt>
          <c:dLbls>
            <c:dLbl>
              <c:idx val="0"/>
              <c:layout>
                <c:manualLayout>
                  <c:x val="7.8562232495595047E-2"/>
                  <c:y val="2.883344367080928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86D-49A3-A2D5-1C10E899E6B1}"/>
                </c:ext>
              </c:extLst>
            </c:dLbl>
            <c:dLbl>
              <c:idx val="1"/>
              <c:layout>
                <c:manualLayout>
                  <c:x val="0.29869462991507079"/>
                  <c:y val="-0.146838993143962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6D-49A3-A2D5-1C10E899E6B1}"/>
                </c:ext>
              </c:extLst>
            </c:dLbl>
            <c:dLbl>
              <c:idx val="2"/>
              <c:layout>
                <c:manualLayout>
                  <c:x val="-4.5130244168166633E-2"/>
                  <c:y val="0.1366307337717745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86D-49A3-A2D5-1C10E899E6B1}"/>
                </c:ext>
              </c:extLst>
            </c:dLbl>
            <c:dLbl>
              <c:idx val="3"/>
              <c:layout>
                <c:manualLayout>
                  <c:x val="-4.7410770046188967E-2"/>
                  <c:y val="1.934535045579702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86D-49A3-A2D5-1C10E899E6B1}"/>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'County Overview'!$A$24:$A$27</c:f>
              <c:strCache>
                <c:ptCount val="4"/>
                <c:pt idx="0">
                  <c:v>Studio</c:v>
                </c:pt>
                <c:pt idx="1">
                  <c:v>1 Bedroom</c:v>
                </c:pt>
                <c:pt idx="2">
                  <c:v>2 Bedroom</c:v>
                </c:pt>
                <c:pt idx="3">
                  <c:v>3+ Bedroom</c:v>
                </c:pt>
              </c:strCache>
            </c:strRef>
          </c:cat>
          <c:val>
            <c:numRef>
              <c:f>'County Overview'!$B$24:$B$27</c:f>
              <c:numCache>
                <c:formatCode>General</c:formatCode>
                <c:ptCount val="4"/>
                <c:pt idx="0">
                  <c:v>12</c:v>
                </c:pt>
                <c:pt idx="1">
                  <c:v>27</c:v>
                </c:pt>
                <c:pt idx="2">
                  <c:v>13</c:v>
                </c:pt>
                <c:pt idx="3">
                  <c:v>0</c:v>
                </c:pt>
              </c:numCache>
            </c:numRef>
          </c:val>
          <c:extLst>
            <c:ext xmlns:c16="http://schemas.microsoft.com/office/drawing/2014/chart" uri="{C3380CC4-5D6E-409C-BE32-E72D297353CC}">
              <c16:uniqueId val="{00000008-186D-49A3-A2D5-1C10E899E6B1}"/>
            </c:ext>
          </c:extLst>
        </c:ser>
        <c:ser>
          <c:idx val="1"/>
          <c:order val="1"/>
          <c:tx>
            <c:strRef>
              <c:f>'County Overview'!$C$23</c:f>
              <c:strCache>
                <c:ptCount val="1"/>
                <c:pt idx="0">
                  <c:v>Percent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186D-49A3-A2D5-1C10E899E6B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186D-49A3-A2D5-1C10E899E6B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186D-49A3-A2D5-1C10E899E6B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186D-49A3-A2D5-1C10E899E6B1}"/>
              </c:ext>
            </c:extLst>
          </c:dPt>
          <c:dLbls>
            <c:delete val="1"/>
          </c:dLbls>
          <c:cat>
            <c:strRef>
              <c:f>'County Overview'!$A$24:$A$27</c:f>
              <c:strCache>
                <c:ptCount val="4"/>
                <c:pt idx="0">
                  <c:v>Studio</c:v>
                </c:pt>
                <c:pt idx="1">
                  <c:v>1 Bedroom</c:v>
                </c:pt>
                <c:pt idx="2">
                  <c:v>2 Bedroom</c:v>
                </c:pt>
                <c:pt idx="3">
                  <c:v>3+ Bedroom</c:v>
                </c:pt>
              </c:strCache>
            </c:strRef>
          </c:cat>
          <c:val>
            <c:numRef>
              <c:f>'County Overview'!$C$24:$C$27</c:f>
              <c:numCache>
                <c:formatCode>0%</c:formatCode>
                <c:ptCount val="4"/>
                <c:pt idx="0">
                  <c:v>0.23076923076923078</c:v>
                </c:pt>
                <c:pt idx="1">
                  <c:v>0.51923076923076927</c:v>
                </c:pt>
                <c:pt idx="2">
                  <c:v>0.25</c:v>
                </c:pt>
                <c:pt idx="3">
                  <c:v>0</c:v>
                </c:pt>
              </c:numCache>
            </c:numRef>
          </c:val>
          <c:extLst>
            <c:ext xmlns:c16="http://schemas.microsoft.com/office/drawing/2014/chart" uri="{C3380CC4-5D6E-409C-BE32-E72D297353CC}">
              <c16:uniqueId val="{00000011-186D-49A3-A2D5-1C10E899E6B1}"/>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6. Percent of ADUs by Rent Level</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'County Overview'!$D$35</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'County Overview'!$A$48:$A$59</c:f>
              <c:strCache>
                <c:ptCount val="12"/>
                <c:pt idx="0">
                  <c:v>$1 - $1,000</c:v>
                </c:pt>
                <c:pt idx="1">
                  <c:v>$1,001 - $1,500</c:v>
                </c:pt>
                <c:pt idx="2">
                  <c:v>$1,501 - $2,000</c:v>
                </c:pt>
                <c:pt idx="3">
                  <c:v>$2,001 - $2,500</c:v>
                </c:pt>
                <c:pt idx="4">
                  <c:v>$2,501 - $3,000</c:v>
                </c:pt>
                <c:pt idx="5">
                  <c:v>$3,001 - $3,500</c:v>
                </c:pt>
                <c:pt idx="6">
                  <c:v>$3,501 - $4,000</c:v>
                </c:pt>
                <c:pt idx="7">
                  <c:v>$4,001 - $4,500</c:v>
                </c:pt>
                <c:pt idx="8">
                  <c:v>More than $4,500</c:v>
                </c:pt>
                <c:pt idx="9">
                  <c:v>Not planning to use for housing</c:v>
                </c:pt>
                <c:pt idx="10">
                  <c:v>Not planning to charge rent</c:v>
                </c:pt>
                <c:pt idx="11">
                  <c:v>Decline to State</c:v>
                </c:pt>
              </c:strCache>
            </c:strRef>
          </c:cat>
          <c:val>
            <c:numRef>
              <c:f>'County Overview'!$C$48:$C$59</c:f>
              <c:numCache>
                <c:formatCode>0%</c:formatCode>
                <c:ptCount val="12"/>
                <c:pt idx="0">
                  <c:v>3.8461538461538464E-2</c:v>
                </c:pt>
                <c:pt idx="1">
                  <c:v>3.8461538461538464E-2</c:v>
                </c:pt>
                <c:pt idx="2">
                  <c:v>9.6153846153846159E-2</c:v>
                </c:pt>
                <c:pt idx="3">
                  <c:v>5.7692307692307696E-2</c:v>
                </c:pt>
                <c:pt idx="4">
                  <c:v>7.6923076923076927E-2</c:v>
                </c:pt>
                <c:pt idx="5">
                  <c:v>3.8461538461538464E-2</c:v>
                </c:pt>
                <c:pt idx="6">
                  <c:v>1.9230769230769232E-2</c:v>
                </c:pt>
                <c:pt idx="7">
                  <c:v>0</c:v>
                </c:pt>
                <c:pt idx="8">
                  <c:v>0</c:v>
                </c:pt>
                <c:pt idx="9">
                  <c:v>0.11538461538461539</c:v>
                </c:pt>
                <c:pt idx="10">
                  <c:v>0.40384615384615385</c:v>
                </c:pt>
                <c:pt idx="11">
                  <c:v>0.11538461538461539</c:v>
                </c:pt>
              </c:numCache>
            </c:numRef>
          </c:val>
          <c:extLst>
            <c:ext xmlns:c16="http://schemas.microsoft.com/office/drawing/2014/chart" uri="{C3380CC4-5D6E-409C-BE32-E72D297353CC}">
              <c16:uniqueId val="{00000000-A45B-455F-864A-605F93F23DAE}"/>
            </c:ext>
          </c:extLst>
        </c:ser>
        <c:dLbls>
          <c:showLegendKey val="0"/>
          <c:showVal val="0"/>
          <c:showCatName val="0"/>
          <c:showSerName val="0"/>
          <c:showPercent val="0"/>
          <c:showBubbleSize val="0"/>
        </c:dLbls>
        <c:gapWidth val="219"/>
        <c:overlap val="-27"/>
        <c:axId val="17862015"/>
        <c:axId val="17881983"/>
      </c:barChart>
      <c:catAx>
        <c:axId val="17862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81983"/>
        <c:crosses val="autoZero"/>
        <c:auto val="1"/>
        <c:lblAlgn val="ctr"/>
        <c:lblOffset val="100"/>
        <c:noMultiLvlLbl val="0"/>
      </c:catAx>
      <c:valAx>
        <c:axId val="1788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62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7. Tenant Responsibility for ADU Utilities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1"/>
          <c:order val="1"/>
          <c:tx>
            <c:strRef>
              <c:f>'County Overview'!$C$62</c:f>
              <c:strCache>
                <c:ptCount val="1"/>
                <c:pt idx="0">
                  <c:v>Percent of Responses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'County Overview'!$A$63:$A$68</c:f>
              <c:strCache>
                <c:ptCount val="6"/>
                <c:pt idx="0">
                  <c:v>Not Sure</c:v>
                </c:pt>
                <c:pt idx="1">
                  <c:v>No Utilities</c:v>
                </c:pt>
                <c:pt idx="2">
                  <c:v>Electricity</c:v>
                </c:pt>
                <c:pt idx="3">
                  <c:v>Gas</c:v>
                </c:pt>
                <c:pt idx="4">
                  <c:v>Trash</c:v>
                </c:pt>
                <c:pt idx="5">
                  <c:v>Water/Sewer</c:v>
                </c:pt>
              </c:strCache>
            </c:strRef>
          </c:cat>
          <c:val>
            <c:numRef>
              <c:f>'County Overview'!$C$63:$C$68</c:f>
              <c:numCache>
                <c:formatCode>0%</c:formatCode>
                <c:ptCount val="6"/>
                <c:pt idx="0">
                  <c:v>0.46153846153846156</c:v>
                </c:pt>
                <c:pt idx="1">
                  <c:v>0.32692307692307693</c:v>
                </c:pt>
                <c:pt idx="2">
                  <c:v>0.21153846153846154</c:v>
                </c:pt>
                <c:pt idx="3">
                  <c:v>9.6153846153846159E-2</c:v>
                </c:pt>
                <c:pt idx="4">
                  <c:v>0.11538461538461539</c:v>
                </c:pt>
                <c:pt idx="5">
                  <c:v>0.13461538461538461</c:v>
                </c:pt>
              </c:numCache>
            </c:numRef>
          </c:val>
          <c:extLst>
            <c:ext xmlns:c16="http://schemas.microsoft.com/office/drawing/2014/chart" uri="{C3380CC4-5D6E-409C-BE32-E72D297353CC}">
              <c16:uniqueId val="{00000000-A168-4F76-8675-F08E02F83383}"/>
            </c:ext>
          </c:extLst>
        </c:ser>
        <c:dLbls>
          <c:showLegendKey val="0"/>
          <c:showVal val="0"/>
          <c:showCatName val="0"/>
          <c:showSerName val="0"/>
          <c:showPercent val="0"/>
          <c:showBubbleSize val="0"/>
        </c:dLbls>
        <c:gapWidth val="219"/>
        <c:overlap val="-27"/>
        <c:axId val="324115839"/>
        <c:axId val="324123327"/>
        <c:extLst>
          <c:ext xmlns:c15="http://schemas.microsoft.com/office/drawing/2012/chart" uri="{02D57815-91ED-43cb-92C2-25804820EDAC}">
            <c15:filteredBarSeries>
              <c15:ser>
                <c:idx val="0"/>
                <c:order val="0"/>
                <c:tx>
                  <c:strRef>
                    <c:extLst>
                      <c:ext uri="{02D57815-91ED-43cb-92C2-25804820EDAC}">
                        <c15:formulaRef>
                          <c15:sqref>'County Overview'!$B$62</c15:sqref>
                        </c15:formulaRef>
                      </c:ext>
                    </c:extLst>
                    <c:strCache>
                      <c:ptCount val="1"/>
                      <c:pt idx="0">
                        <c:v>Count of Responses</c:v>
                      </c:pt>
                    </c:strCache>
                  </c:strRef>
                </c:tx>
                <c:spPr>
                  <a:solidFill>
                    <a:schemeClr val="accent1"/>
                  </a:solidFill>
                  <a:ln>
                    <a:noFill/>
                  </a:ln>
                  <a:effectLst/>
                </c:spPr>
                <c:invertIfNegative val="0"/>
                <c:cat>
                  <c:strRef>
                    <c:extLst>
                      <c:ext uri="{02D57815-91ED-43cb-92C2-25804820EDAC}">
                        <c15:formulaRef>
                          <c15:sqref>'County Overview'!$A$63:$A$68</c15:sqref>
                        </c15:formulaRef>
                      </c:ext>
                    </c:extLst>
                    <c:strCache>
                      <c:ptCount val="6"/>
                      <c:pt idx="0">
                        <c:v>Not Sure</c:v>
                      </c:pt>
                      <c:pt idx="1">
                        <c:v>No Utilities</c:v>
                      </c:pt>
                      <c:pt idx="2">
                        <c:v>Electricity</c:v>
                      </c:pt>
                      <c:pt idx="3">
                        <c:v>Gas</c:v>
                      </c:pt>
                      <c:pt idx="4">
                        <c:v>Trash</c:v>
                      </c:pt>
                      <c:pt idx="5">
                        <c:v>Water/Sewer</c:v>
                      </c:pt>
                    </c:strCache>
                  </c:strRef>
                </c:cat>
                <c:val>
                  <c:numRef>
                    <c:extLst>
                      <c:ext uri="{02D57815-91ED-43cb-92C2-25804820EDAC}">
                        <c15:formulaRef>
                          <c15:sqref>'County Overview'!$B$63:$B$68</c15:sqref>
                        </c15:formulaRef>
                      </c:ext>
                    </c:extLst>
                    <c:numCache>
                      <c:formatCode>General</c:formatCode>
                      <c:ptCount val="6"/>
                      <c:pt idx="0">
                        <c:v>24</c:v>
                      </c:pt>
                      <c:pt idx="1">
                        <c:v>17</c:v>
                      </c:pt>
                      <c:pt idx="2">
                        <c:v>11</c:v>
                      </c:pt>
                      <c:pt idx="3">
                        <c:v>5</c:v>
                      </c:pt>
                      <c:pt idx="4">
                        <c:v>6</c:v>
                      </c:pt>
                      <c:pt idx="5">
                        <c:v>7</c:v>
                      </c:pt>
                    </c:numCache>
                  </c:numRef>
                </c:val>
                <c:extLst>
                  <c:ext xmlns:c16="http://schemas.microsoft.com/office/drawing/2014/chart" uri="{C3380CC4-5D6E-409C-BE32-E72D297353CC}">
                    <c16:uniqueId val="{00000001-A168-4F76-8675-F08E02F83383}"/>
                  </c:ext>
                </c:extLst>
              </c15:ser>
            </c15:filteredBarSeries>
          </c:ext>
        </c:extLst>
      </c:barChart>
      <c:catAx>
        <c:axId val="324115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24123327"/>
        <c:crosses val="autoZero"/>
        <c:auto val="1"/>
        <c:lblAlgn val="ctr"/>
        <c:lblOffset val="100"/>
        <c:noMultiLvlLbl val="0"/>
      </c:catAx>
      <c:valAx>
        <c:axId val="3241233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241158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5a. Percent of ADUs by Affordability Level</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tx>
            <c:strRef>
              <c:f>'County Overview'!$C$39</c:f>
              <c:strCache>
                <c:ptCount val="1"/>
                <c:pt idx="0">
                  <c:v>Percent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EC8-4276-8BC7-D45B4C622C2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EC8-4276-8BC7-D45B4C622C2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EC8-4276-8BC7-D45B4C622C2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EC8-4276-8BC7-D45B4C622C2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EC8-4276-8BC7-D45B4C622C25}"/>
              </c:ext>
            </c:extLst>
          </c:dPt>
          <c:dLbls>
            <c:dLbl>
              <c:idx val="0"/>
              <c:layout>
                <c:manualLayout>
                  <c:x val="2.4130524225012415E-2"/>
                  <c:y val="-4.2515384760795109E-3"/>
                </c:manualLayout>
              </c:layout>
              <c:tx>
                <c:rich>
                  <a:bodyPr/>
                  <a:lstStyle/>
                  <a:p>
                    <a:fld id="{3370BFBE-94F2-4629-8245-260AB47F4FC2}" type="CATEGORYNAME">
                      <a:rPr lang="en-US"/>
                      <a:pPr/>
                      <a:t>[CATEGORY NAME]</a:t>
                    </a:fld>
                    <a:r>
                      <a:rPr lang="en-US" baseline="0"/>
                      <a:t>
</a:t>
                    </a:r>
                    <a:fld id="{409525E2-CF03-42C3-939F-9840F97EA5B6}" type="VALUE">
                      <a:rPr lang="en-US" baseline="0"/>
                      <a:pPr/>
                      <a:t>[VALUE]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EC8-4276-8BC7-D45B4C622C25}"/>
                </c:ext>
              </c:extLst>
            </c:dLbl>
            <c:dLbl>
              <c:idx val="1"/>
              <c:layout>
                <c:manualLayout>
                  <c:x val="-2.5610520764868413E-2"/>
                  <c:y val="-1.0600077072551135E-2"/>
                </c:manualLayout>
              </c:layout>
              <c:tx>
                <c:rich>
                  <a:bodyPr/>
                  <a:lstStyle/>
                  <a:p>
                    <a:fld id="{B0F17992-DD0E-4166-94F7-DE1F17CCC425}" type="CATEGORYNAME">
                      <a:rPr lang="en-US"/>
                      <a:pPr/>
                      <a:t>[CATEGORY NAME]</a:t>
                    </a:fld>
                    <a:r>
                      <a:rPr lang="en-US" baseline="0"/>
                      <a:t>
</a:t>
                    </a:r>
                    <a:fld id="{7C16D2C6-FCFB-4479-AC3D-F29830867E76}" type="VALUE">
                      <a:rPr lang="en-US" baseline="0"/>
                      <a:pPr/>
                      <a:t>[VALUE]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EC8-4276-8BC7-D45B4C622C25}"/>
                </c:ext>
              </c:extLst>
            </c:dLbl>
            <c:dLbl>
              <c:idx val="2"/>
              <c:layout>
                <c:manualLayout>
                  <c:x val="1.4327694567594454E-2"/>
                  <c:y val="-2.3457231806199093E-3"/>
                </c:manualLayout>
              </c:layout>
              <c:tx>
                <c:rich>
                  <a:bodyPr/>
                  <a:lstStyle/>
                  <a:p>
                    <a:fld id="{DA62F92E-8FC2-4D1C-B75E-916413AA09C9}" type="CATEGORYNAME">
                      <a:rPr lang="en-US"/>
                      <a:pPr/>
                      <a:t>[CATEGORY NAME]</a:t>
                    </a:fld>
                    <a:r>
                      <a:rPr lang="en-US" baseline="0"/>
                      <a:t>
</a:t>
                    </a:r>
                    <a:fld id="{1468249F-62D3-4FC2-8CB0-0878AB22E0E4}" type="VALUE">
                      <a:rPr lang="en-US" baseline="0"/>
                      <a:pPr/>
                      <a:t>[VALUE]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EC8-4276-8BC7-D45B4C622C25}"/>
                </c:ext>
              </c:extLst>
            </c:dLbl>
            <c:dLbl>
              <c:idx val="3"/>
              <c:layout>
                <c:manualLayout>
                  <c:x val="-0.14707260680861656"/>
                  <c:y val="0.13602654233189743"/>
                </c:manualLayout>
              </c:layout>
              <c:tx>
                <c:rich>
                  <a:bodyPr/>
                  <a:lstStyle/>
                  <a:p>
                    <a:fld id="{83903396-7C44-4EBE-A42C-68E958D07909}" type="CATEGORYNAME">
                      <a:rPr lang="en-US"/>
                      <a:pPr/>
                      <a:t>[CATEGORY NAME]</a:t>
                    </a:fld>
                    <a:r>
                      <a:rPr lang="en-US" baseline="0"/>
                      <a:t>
</a:t>
                    </a:r>
                    <a:fld id="{4FAED712-8B9A-4406-B7FE-9FC3FE1D157F}" type="VALUE">
                      <a:rPr lang="en-US" baseline="0"/>
                      <a:pPr/>
                      <a:t>[VALUE]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EEC8-4276-8BC7-D45B4C622C25}"/>
                </c:ext>
              </c:extLst>
            </c:dLbl>
            <c:dLbl>
              <c:idx val="4"/>
              <c:layout>
                <c:manualLayout>
                  <c:x val="-0.24669646169030915"/>
                  <c:y val="4.2787099976827815E-2"/>
                </c:manualLayout>
              </c:layout>
              <c:tx>
                <c:rich>
                  <a:bodyPr/>
                  <a:lstStyle/>
                  <a:p>
                    <a:fld id="{67F5CA4E-82AF-4837-9B29-0B5C8370A3FD}" type="CATEGORYNAME">
                      <a:rPr lang="en-US"/>
                      <a:pPr/>
                      <a:t>[CATEGORY NAME]</a:t>
                    </a:fld>
                    <a:r>
                      <a:rPr lang="en-US" baseline="0"/>
                      <a:t>
</a:t>
                    </a:r>
                    <a:fld id="{0B4BB95A-F36E-4271-A865-B866E515296D}" type="VALUE">
                      <a:rPr lang="en-US" baseline="0"/>
                      <a:pPr/>
                      <a:t>[VALUE]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EEC8-4276-8BC7-D45B4C622C2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'County Overview'!$A$40:$A$44</c:f>
              <c:strCache>
                <c:ptCount val="5"/>
                <c:pt idx="0">
                  <c:v>Zero Rent / Extremely Low Income Units</c:v>
                </c:pt>
                <c:pt idx="1">
                  <c:v>Very Low Income Units</c:v>
                </c:pt>
                <c:pt idx="2">
                  <c:v>Low Income Units</c:v>
                </c:pt>
                <c:pt idx="3">
                  <c:v>Moderate Income Units</c:v>
                </c:pt>
                <c:pt idx="4">
                  <c:v>Above Moderate Units</c:v>
                </c:pt>
              </c:strCache>
            </c:strRef>
          </c:cat>
          <c:val>
            <c:numRef>
              <c:f>'County Overview'!$C$40:$C$44</c:f>
              <c:numCache>
                <c:formatCode>0%</c:formatCode>
                <c:ptCount val="5"/>
                <c:pt idx="0">
                  <c:v>0.56694750000000005</c:v>
                </c:pt>
                <c:pt idx="1">
                  <c:v>9.2621638276553092E-2</c:v>
                </c:pt>
                <c:pt idx="2">
                  <c:v>0.20881763527054104</c:v>
                </c:pt>
                <c:pt idx="3">
                  <c:v>0.13161322645290582</c:v>
                </c:pt>
                <c:pt idx="4">
                  <c:v>0</c:v>
                </c:pt>
              </c:numCache>
            </c:numRef>
          </c:val>
          <c:extLst>
            <c:ext xmlns:c16="http://schemas.microsoft.com/office/drawing/2014/chart" uri="{C3380CC4-5D6E-409C-BE32-E72D297353CC}">
              <c16:uniqueId val="{0000000A-EEC8-4276-8BC7-D45B4C622C25}"/>
            </c:ext>
          </c:extLst>
        </c:ser>
        <c:ser>
          <c:idx val="1"/>
          <c:order val="1"/>
          <c:tx>
            <c:strRef>
              <c:f>'County Overview'!$C$23</c:f>
              <c:strCache>
                <c:ptCount val="1"/>
                <c:pt idx="0">
                  <c:v>Percent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C-EEC8-4276-8BC7-D45B4C622C2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E-EEC8-4276-8BC7-D45B4C622C2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0-EEC8-4276-8BC7-D45B4C622C2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2-EEC8-4276-8BC7-D45B4C622C2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'County Overview'!$A$40:$A$44</c:f>
              <c:strCache>
                <c:ptCount val="5"/>
                <c:pt idx="0">
                  <c:v>Zero Rent / Extremely Low Income Units</c:v>
                </c:pt>
                <c:pt idx="1">
                  <c:v>Very Low Income Units</c:v>
                </c:pt>
                <c:pt idx="2">
                  <c:v>Low Income Units</c:v>
                </c:pt>
                <c:pt idx="3">
                  <c:v>Moderate Income Units</c:v>
                </c:pt>
                <c:pt idx="4">
                  <c:v>Above Moderate Units</c:v>
                </c:pt>
              </c:strCache>
            </c:strRef>
          </c:cat>
          <c:val>
            <c:numRef>
              <c:f>'County Overview'!$C$24:$C$27</c:f>
              <c:numCache>
                <c:formatCode>0%</c:formatCode>
                <c:ptCount val="4"/>
                <c:pt idx="0">
                  <c:v>0.23076923076923078</c:v>
                </c:pt>
                <c:pt idx="1">
                  <c:v>0.51923076923076927</c:v>
                </c:pt>
                <c:pt idx="2">
                  <c:v>0.25</c:v>
                </c:pt>
                <c:pt idx="3">
                  <c:v>0</c:v>
                </c:pt>
              </c:numCache>
            </c:numRef>
          </c:val>
          <c:extLst>
            <c:ext xmlns:c16="http://schemas.microsoft.com/office/drawing/2014/chart" uri="{C3380CC4-5D6E-409C-BE32-E72D297353CC}">
              <c16:uniqueId val="{00000013-EEC8-4276-8BC7-D45B4C622C25}"/>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2. Residential Use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tx>
            <c:strRef>
              <c:f>'County Overview'!$B$18</c:f>
              <c:strCache>
                <c:ptCount val="1"/>
                <c:pt idx="0">
                  <c:v>Count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55-4804-A567-DE726E3B5C6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E55-4804-A567-DE726E3B5C61}"/>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'County Overview'!$A$19:$A$20</c:f>
              <c:strCache>
                <c:ptCount val="2"/>
                <c:pt idx="0">
                  <c:v>Yes, this unit will be used for housing.</c:v>
                </c:pt>
                <c:pt idx="1">
                  <c:v>No, this unit will not be used for housing.</c:v>
                </c:pt>
              </c:strCache>
            </c:strRef>
          </c:cat>
          <c:val>
            <c:numRef>
              <c:f>'County Overview'!$B$19:$B$20</c:f>
              <c:numCache>
                <c:formatCode>General</c:formatCode>
                <c:ptCount val="2"/>
                <c:pt idx="0">
                  <c:v>46</c:v>
                </c:pt>
                <c:pt idx="1">
                  <c:v>6</c:v>
                </c:pt>
              </c:numCache>
            </c:numRef>
          </c:val>
          <c:extLst>
            <c:ext xmlns:c16="http://schemas.microsoft.com/office/drawing/2014/chart" uri="{C3380CC4-5D6E-409C-BE32-E72D297353CC}">
              <c16:uniqueId val="{00000008-0E55-4804-A567-DE726E3B5C61}"/>
            </c:ext>
          </c:extLst>
        </c:ser>
        <c:ser>
          <c:idx val="1"/>
          <c:order val="1"/>
          <c:tx>
            <c:strRef>
              <c:f>'County Overview'!$C$23</c:f>
              <c:strCache>
                <c:ptCount val="1"/>
                <c:pt idx="0">
                  <c:v>Percent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0E55-4804-A567-DE726E3B5C6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0E55-4804-A567-DE726E3B5C6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0E55-4804-A567-DE726E3B5C6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0E55-4804-A567-DE726E3B5C61}"/>
              </c:ext>
            </c:extLst>
          </c:dPt>
          <c:dLbls>
            <c:delete val="1"/>
          </c:dLbls>
          <c:cat>
            <c:strRef>
              <c:f>'County Overview'!$A$19:$A$20</c:f>
              <c:strCache>
                <c:ptCount val="2"/>
                <c:pt idx="0">
                  <c:v>Yes, this unit will be used for housing.</c:v>
                </c:pt>
                <c:pt idx="1">
                  <c:v>No, this unit will not be used for housing.</c:v>
                </c:pt>
              </c:strCache>
            </c:strRef>
          </c:cat>
          <c:val>
            <c:numRef>
              <c:f>'County Overview'!$C$24:$C$27</c:f>
              <c:numCache>
                <c:formatCode>0%</c:formatCode>
                <c:ptCount val="4"/>
                <c:pt idx="0">
                  <c:v>0.23076923076923078</c:v>
                </c:pt>
                <c:pt idx="1">
                  <c:v>0.51923076923076927</c:v>
                </c:pt>
                <c:pt idx="2">
                  <c:v>0.25</c:v>
                </c:pt>
                <c:pt idx="3">
                  <c:v>0</c:v>
                </c:pt>
              </c:numCache>
            </c:numRef>
          </c:val>
          <c:extLst>
            <c:ext xmlns:c16="http://schemas.microsoft.com/office/drawing/2014/chart" uri="{C3380CC4-5D6E-409C-BE32-E72D297353CC}">
              <c16:uniqueId val="{00000011-0E55-4804-A567-DE726E3B5C61}"/>
            </c:ext>
          </c:extLst>
        </c:ser>
        <c:dLbls>
          <c:showLegendKey val="0"/>
          <c:showVal val="0"/>
          <c:showCatName val="1"/>
          <c:showSerName val="0"/>
          <c:showPercent val="1"/>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1. ADU Occupants</a:t>
            </a:r>
          </a:p>
        </c:rich>
      </c:tx>
      <c:layout>
        <c:manualLayout>
          <c:xMode val="edge"/>
          <c:yMode val="edge"/>
          <c:x val="0.29004155730533676"/>
          <c:y val="2.5974025974025976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1"/>
          <c:order val="1"/>
          <c:tx>
            <c:strRef>
              <c:f>'City Overview'!$C$10</c:f>
              <c:strCache>
                <c:ptCount val="1"/>
                <c:pt idx="0">
                  <c:v>Percent of Responses</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'City Overview'!$A$11:$A$15</c:f>
              <c:strCache>
                <c:ptCount val="5"/>
                <c:pt idx="0">
                  <c:v>Family</c:v>
                </c:pt>
                <c:pt idx="1">
                  <c:v>Renter</c:v>
                </c:pt>
                <c:pt idx="2">
                  <c:v>Myself</c:v>
                </c:pt>
                <c:pt idx="3">
                  <c:v>Friend</c:v>
                </c:pt>
                <c:pt idx="4">
                  <c:v>Not using for Housing</c:v>
                </c:pt>
              </c:strCache>
            </c:strRef>
          </c:cat>
          <c:val>
            <c:numRef>
              <c:f>'City Overview'!$C$11:$C$15</c:f>
              <c:numCache>
                <c:formatCode>0%</c:formatCode>
                <c:ptCount val="5"/>
                <c:pt idx="0">
                  <c:v>0.38461538461538464</c:v>
                </c:pt>
                <c:pt idx="1">
                  <c:v>0.46153846153846156</c:v>
                </c:pt>
                <c:pt idx="2">
                  <c:v>0.15384615384615385</c:v>
                </c:pt>
                <c:pt idx="3">
                  <c:v>0</c:v>
                </c:pt>
                <c:pt idx="4">
                  <c:v>0</c:v>
                </c:pt>
              </c:numCache>
            </c:numRef>
          </c:val>
          <c:extLst>
            <c:ext xmlns:c16="http://schemas.microsoft.com/office/drawing/2014/chart" uri="{C3380CC4-5D6E-409C-BE32-E72D297353CC}">
              <c16:uniqueId val="{00000000-3A73-4794-B1C9-9FA059DF58D6}"/>
            </c:ext>
          </c:extLst>
        </c:ser>
        <c:dLbls>
          <c:showLegendKey val="0"/>
          <c:showVal val="0"/>
          <c:showCatName val="0"/>
          <c:showSerName val="0"/>
          <c:showPercent val="0"/>
          <c:showBubbleSize val="0"/>
        </c:dLbls>
        <c:gapWidth val="219"/>
        <c:overlap val="-27"/>
        <c:axId val="17839135"/>
        <c:axId val="17839551"/>
        <c:extLst>
          <c:ext xmlns:c15="http://schemas.microsoft.com/office/drawing/2012/chart" uri="{02D57815-91ED-43cb-92C2-25804820EDAC}">
            <c15:filteredBarSeries>
              <c15:ser>
                <c:idx val="0"/>
                <c:order val="0"/>
                <c:tx>
                  <c:strRef>
                    <c:extLst>
                      <c:ext uri="{02D57815-91ED-43cb-92C2-25804820EDAC}">
                        <c15:formulaRef>
                          <c15:sqref>'City Overview'!$B$10</c15:sqref>
                        </c15:formulaRef>
                      </c:ext>
                    </c:extLst>
                    <c:strCache>
                      <c:ptCount val="1"/>
                      <c:pt idx="0">
                        <c:v>Responses</c:v>
                      </c:pt>
                    </c:strCache>
                  </c:strRef>
                </c:tx>
                <c:spPr>
                  <a:solidFill>
                    <a:schemeClr val="accent1"/>
                  </a:solidFill>
                  <a:ln>
                    <a:noFill/>
                  </a:ln>
                  <a:effectLst/>
                </c:spPr>
                <c:invertIfNegative val="0"/>
                <c:cat>
                  <c:strRef>
                    <c:extLst>
                      <c:ext uri="{02D57815-91ED-43cb-92C2-25804820EDAC}">
                        <c15:formulaRef>
                          <c15:sqref>'City Overview'!$A$11:$A$15</c15:sqref>
                        </c15:formulaRef>
                      </c:ext>
                    </c:extLst>
                    <c:strCache>
                      <c:ptCount val="5"/>
                      <c:pt idx="0">
                        <c:v>Family</c:v>
                      </c:pt>
                      <c:pt idx="1">
                        <c:v>Renter</c:v>
                      </c:pt>
                      <c:pt idx="2">
                        <c:v>Myself</c:v>
                      </c:pt>
                      <c:pt idx="3">
                        <c:v>Friend</c:v>
                      </c:pt>
                      <c:pt idx="4">
                        <c:v>Not using for Housing</c:v>
                      </c:pt>
                    </c:strCache>
                  </c:strRef>
                </c:cat>
                <c:val>
                  <c:numRef>
                    <c:extLst>
                      <c:ext uri="{02D57815-91ED-43cb-92C2-25804820EDAC}">
                        <c15:formulaRef>
                          <c15:sqref>'City Overview'!$B$11:$B$15</c15:sqref>
                        </c15:formulaRef>
                      </c:ext>
                    </c:extLst>
                    <c:numCache>
                      <c:formatCode>General</c:formatCode>
                      <c:ptCount val="5"/>
                      <c:pt idx="0">
                        <c:v>5</c:v>
                      </c:pt>
                      <c:pt idx="1">
                        <c:v>6</c:v>
                      </c:pt>
                      <c:pt idx="2">
                        <c:v>2</c:v>
                      </c:pt>
                      <c:pt idx="3">
                        <c:v>0</c:v>
                      </c:pt>
                      <c:pt idx="4">
                        <c:v>0</c:v>
                      </c:pt>
                    </c:numCache>
                  </c:numRef>
                </c:val>
                <c:extLst>
                  <c:ext xmlns:c16="http://schemas.microsoft.com/office/drawing/2014/chart" uri="{C3380CC4-5D6E-409C-BE32-E72D297353CC}">
                    <c16:uniqueId val="{00000001-3A73-4794-B1C9-9FA059DF58D6}"/>
                  </c:ext>
                </c:extLst>
              </c15:ser>
            </c15:filteredBarSeries>
          </c:ext>
        </c:extLst>
      </c:barChart>
      <c:catAx>
        <c:axId val="17839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39551"/>
        <c:crosses val="autoZero"/>
        <c:auto val="1"/>
        <c:lblAlgn val="ctr"/>
        <c:lblOffset val="100"/>
        <c:noMultiLvlLbl val="0"/>
      </c:catAx>
      <c:valAx>
        <c:axId val="178395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39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2. ADU Occupants</a:t>
            </a:r>
          </a:p>
        </c:rich>
      </c:tx>
      <c:layout>
        <c:manualLayout>
          <c:xMode val="edge"/>
          <c:yMode val="edge"/>
          <c:x val="0.29004155730533676"/>
          <c:y val="2.5974025974025976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1"/>
          <c:order val="1"/>
          <c:tx>
            <c:strRef>
              <c:f>'Regional Overview'!$C$19</c:f>
              <c:strCache>
                <c:ptCount val="1"/>
                <c:pt idx="0">
                  <c:v>Percent of Responses</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'Regional Overview'!$A$20:$A$25</c:f>
              <c:strCache>
                <c:ptCount val="6"/>
                <c:pt idx="0">
                  <c:v>Family</c:v>
                </c:pt>
                <c:pt idx="1">
                  <c:v>Renter</c:v>
                </c:pt>
                <c:pt idx="2">
                  <c:v>Myself</c:v>
                </c:pt>
                <c:pt idx="3">
                  <c:v>Friend</c:v>
                </c:pt>
                <c:pt idx="4">
                  <c:v>Not using for Housing</c:v>
                </c:pt>
                <c:pt idx="5">
                  <c:v>Did not answer</c:v>
                </c:pt>
              </c:strCache>
            </c:strRef>
          </c:cat>
          <c:val>
            <c:numRef>
              <c:f>'Regional Overview'!$C$20:$C$25</c:f>
              <c:numCache>
                <c:formatCode>0%</c:formatCode>
                <c:ptCount val="6"/>
                <c:pt idx="0">
                  <c:v>0.53884297520661162</c:v>
                </c:pt>
                <c:pt idx="1">
                  <c:v>0.32561983471074379</c:v>
                </c:pt>
                <c:pt idx="2">
                  <c:v>0.17851239669421487</c:v>
                </c:pt>
                <c:pt idx="3">
                  <c:v>7.1074380165289261E-2</c:v>
                </c:pt>
                <c:pt idx="4">
                  <c:v>7.1074380165289261E-2</c:v>
                </c:pt>
                <c:pt idx="5">
                  <c:v>0</c:v>
                </c:pt>
              </c:numCache>
            </c:numRef>
          </c:val>
          <c:extLst>
            <c:ext xmlns:c16="http://schemas.microsoft.com/office/drawing/2014/chart" uri="{C3380CC4-5D6E-409C-BE32-E72D297353CC}">
              <c16:uniqueId val="{00000001-8EF7-4AC1-8741-5A49E0214F8A}"/>
            </c:ext>
          </c:extLst>
        </c:ser>
        <c:dLbls>
          <c:showLegendKey val="0"/>
          <c:showVal val="0"/>
          <c:showCatName val="0"/>
          <c:showSerName val="0"/>
          <c:showPercent val="0"/>
          <c:showBubbleSize val="0"/>
        </c:dLbls>
        <c:gapWidth val="219"/>
        <c:overlap val="-27"/>
        <c:axId val="17839135"/>
        <c:axId val="17839551"/>
        <c:extLst>
          <c:ext xmlns:c15="http://schemas.microsoft.com/office/drawing/2012/chart" uri="{02D57815-91ED-43cb-92C2-25804820EDAC}">
            <c15:filteredBarSeries>
              <c15:ser>
                <c:idx val="0"/>
                <c:order val="0"/>
                <c:tx>
                  <c:strRef>
                    <c:extLst>
                      <c:ext uri="{02D57815-91ED-43cb-92C2-25804820EDAC}">
                        <c15:formulaRef>
                          <c15:sqref>'Regional Overview'!$B$19</c15:sqref>
                        </c15:formulaRef>
                      </c:ext>
                    </c:extLst>
                    <c:strCache>
                      <c:ptCount val="1"/>
                      <c:pt idx="0">
                        <c:v>Responses</c:v>
                      </c:pt>
                    </c:strCache>
                  </c:strRef>
                </c:tx>
                <c:spPr>
                  <a:solidFill>
                    <a:schemeClr val="accent1"/>
                  </a:solidFill>
                  <a:ln>
                    <a:noFill/>
                  </a:ln>
                  <a:effectLst/>
                </c:spPr>
                <c:invertIfNegative val="0"/>
                <c:cat>
                  <c:strRef>
                    <c:extLst>
                      <c:ext uri="{02D57815-91ED-43cb-92C2-25804820EDAC}">
                        <c15:formulaRef>
                          <c15:sqref>'Regional Overview'!$A$20:$A$25</c15:sqref>
                        </c15:formulaRef>
                      </c:ext>
                    </c:extLst>
                    <c:strCache>
                      <c:ptCount val="6"/>
                      <c:pt idx="0">
                        <c:v>Family</c:v>
                      </c:pt>
                      <c:pt idx="1">
                        <c:v>Renter</c:v>
                      </c:pt>
                      <c:pt idx="2">
                        <c:v>Myself</c:v>
                      </c:pt>
                      <c:pt idx="3">
                        <c:v>Friend</c:v>
                      </c:pt>
                      <c:pt idx="4">
                        <c:v>Not using for Housing</c:v>
                      </c:pt>
                      <c:pt idx="5">
                        <c:v>Did not answer</c:v>
                      </c:pt>
                    </c:strCache>
                  </c:strRef>
                </c:cat>
                <c:val>
                  <c:numRef>
                    <c:extLst>
                      <c:ext uri="{02D57815-91ED-43cb-92C2-25804820EDAC}">
                        <c15:formulaRef>
                          <c15:sqref>'Regional Overview'!$B$20:$B$25</c15:sqref>
                        </c15:formulaRef>
                      </c:ext>
                    </c:extLst>
                    <c:numCache>
                      <c:formatCode>General</c:formatCode>
                      <c:ptCount val="6"/>
                      <c:pt idx="0">
                        <c:v>326</c:v>
                      </c:pt>
                      <c:pt idx="1">
                        <c:v>197</c:v>
                      </c:pt>
                      <c:pt idx="2">
                        <c:v>108</c:v>
                      </c:pt>
                      <c:pt idx="3">
                        <c:v>43</c:v>
                      </c:pt>
                      <c:pt idx="4">
                        <c:v>43</c:v>
                      </c:pt>
                      <c:pt idx="5">
                        <c:v>0</c:v>
                      </c:pt>
                    </c:numCache>
                  </c:numRef>
                </c:val>
                <c:extLst>
                  <c:ext xmlns:c16="http://schemas.microsoft.com/office/drawing/2014/chart" uri="{C3380CC4-5D6E-409C-BE32-E72D297353CC}">
                    <c16:uniqueId val="{00000000-8EF7-4AC1-8741-5A49E0214F8A}"/>
                  </c:ext>
                </c:extLst>
              </c15:ser>
            </c15:filteredBarSeries>
          </c:ext>
        </c:extLst>
      </c:barChart>
      <c:catAx>
        <c:axId val="17839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39551"/>
        <c:crosses val="autoZero"/>
        <c:auto val="1"/>
        <c:lblAlgn val="ctr"/>
        <c:lblOffset val="100"/>
        <c:noMultiLvlLbl val="0"/>
      </c:catAx>
      <c:valAx>
        <c:axId val="178395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39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4. ADU Size by Square Footage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pieChart>
        <c:varyColors val="1"/>
        <c:ser>
          <c:idx val="1"/>
          <c:order val="1"/>
          <c:tx>
            <c:strRef>
              <c:f>'City Overview'!$C$30</c:f>
              <c:strCache>
                <c:ptCount val="1"/>
                <c:pt idx="0">
                  <c:v>Percent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88B-4287-AF65-B5DA3F9FCB8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88B-4287-AF65-B5DA3F9FCB8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88B-4287-AF65-B5DA3F9FCB8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88B-4287-AF65-B5DA3F9FCB8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88B-4287-AF65-B5DA3F9FCB8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88B-4287-AF65-B5DA3F9FCB80}"/>
              </c:ext>
            </c:extLst>
          </c:dPt>
          <c:dLbls>
            <c:dLbl>
              <c:idx val="0"/>
              <c:layout>
                <c:manualLayout>
                  <c:x val="1.6890578815608247E-2"/>
                  <c:y val="4.56169885400262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88B-4287-AF65-B5DA3F9FCB80}"/>
                </c:ext>
              </c:extLst>
            </c:dLbl>
            <c:dLbl>
              <c:idx val="1"/>
              <c:layout>
                <c:manualLayout>
                  <c:x val="-0.12470879466884434"/>
                  <c:y val="-8.56373720198313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88B-4287-AF65-B5DA3F9FCB80}"/>
                </c:ext>
              </c:extLst>
            </c:dLbl>
            <c:dLbl>
              <c:idx val="2"/>
              <c:layout>
                <c:manualLayout>
                  <c:x val="-6.54342642133455E-2"/>
                  <c:y val="7.201275511884427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88B-4287-AF65-B5DA3F9FCB80}"/>
                </c:ext>
              </c:extLst>
            </c:dLbl>
            <c:dLbl>
              <c:idx val="3"/>
              <c:layout>
                <c:manualLayout>
                  <c:x val="-0.17766352312420988"/>
                  <c:y val="2.762274357780526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88B-4287-AF65-B5DA3F9FCB80}"/>
                </c:ext>
              </c:extLst>
            </c:dLbl>
            <c:dLbl>
              <c:idx val="4"/>
              <c:layout>
                <c:manualLayout>
                  <c:x val="7.8630647478760019E-3"/>
                  <c:y val="-7.1543358550479486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88B-4287-AF65-B5DA3F9FCB80}"/>
                </c:ext>
              </c:extLst>
            </c:dLbl>
            <c:dLbl>
              <c:idx val="5"/>
              <c:layout>
                <c:manualLayout>
                  <c:x val="0.25553633277925786"/>
                  <c:y val="4.02764205483571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88B-4287-AF65-B5DA3F9FCB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'City Overview'!$A$31:$A$36</c:f>
              <c:strCache>
                <c:ptCount val="6"/>
                <c:pt idx="0">
                  <c:v>Less than or equal to 500 sf</c:v>
                </c:pt>
                <c:pt idx="1">
                  <c:v>501 - 750 sf</c:v>
                </c:pt>
                <c:pt idx="2">
                  <c:v>751 - 1,000 sf</c:v>
                </c:pt>
                <c:pt idx="3">
                  <c:v>1,001 - 1,250 sf</c:v>
                </c:pt>
                <c:pt idx="4">
                  <c:v>1,251 + sf</c:v>
                </c:pt>
                <c:pt idx="5">
                  <c:v>Did not answer</c:v>
                </c:pt>
              </c:strCache>
            </c:strRef>
          </c:cat>
          <c:val>
            <c:numRef>
              <c:f>'City Overview'!$C$31:$C$36</c:f>
              <c:numCache>
                <c:formatCode>0%</c:formatCode>
                <c:ptCount val="6"/>
                <c:pt idx="0">
                  <c:v>0.38461538461538464</c:v>
                </c:pt>
                <c:pt idx="1">
                  <c:v>0.15384615384615385</c:v>
                </c:pt>
                <c:pt idx="2">
                  <c:v>0.30769230769230771</c:v>
                </c:pt>
                <c:pt idx="3">
                  <c:v>0</c:v>
                </c:pt>
                <c:pt idx="4">
                  <c:v>0.15384615384615385</c:v>
                </c:pt>
                <c:pt idx="5">
                  <c:v>0</c:v>
                </c:pt>
              </c:numCache>
            </c:numRef>
          </c:val>
          <c:extLst>
            <c:ext xmlns:c16="http://schemas.microsoft.com/office/drawing/2014/chart" uri="{C3380CC4-5D6E-409C-BE32-E72D297353CC}">
              <c16:uniqueId val="{0000000C-588B-4287-AF65-B5DA3F9FCB80}"/>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'City Overview'!$B$30</c15:sqref>
                        </c15:formulaRef>
                      </c:ext>
                    </c:extLst>
                    <c:strCache>
                      <c:ptCount val="1"/>
                      <c:pt idx="0">
                        <c:v>Count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E-588B-4287-AF65-B5DA3F9FCB8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0-588B-4287-AF65-B5DA3F9FCB8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2-588B-4287-AF65-B5DA3F9FCB8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4-588B-4287-AF65-B5DA3F9FCB8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6-588B-4287-AF65-B5DA3F9FCB8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8-588B-4287-AF65-B5DA3F9FCB8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'City Overview'!$A$31:$A$36</c15:sqref>
                        </c15:formulaRef>
                      </c:ext>
                    </c:extLst>
                    <c:strCache>
                      <c:ptCount val="6"/>
                      <c:pt idx="0">
                        <c:v>Less than or equal to 500 sf</c:v>
                      </c:pt>
                      <c:pt idx="1">
                        <c:v>501 - 750 sf</c:v>
                      </c:pt>
                      <c:pt idx="2">
                        <c:v>751 - 1,000 sf</c:v>
                      </c:pt>
                      <c:pt idx="3">
                        <c:v>1,001 - 1,250 sf</c:v>
                      </c:pt>
                      <c:pt idx="4">
                        <c:v>1,251 + sf</c:v>
                      </c:pt>
                      <c:pt idx="5">
                        <c:v>Did not answer</c:v>
                      </c:pt>
                    </c:strCache>
                  </c:strRef>
                </c:cat>
                <c:val>
                  <c:numRef>
                    <c:extLst>
                      <c:ext uri="{02D57815-91ED-43cb-92C2-25804820EDAC}">
                        <c15:formulaRef>
                          <c15:sqref>'City Overview'!$B$31:$B$36</c15:sqref>
                        </c15:formulaRef>
                      </c:ext>
                    </c:extLst>
                    <c:numCache>
                      <c:formatCode>General</c:formatCode>
                      <c:ptCount val="6"/>
                      <c:pt idx="0">
                        <c:v>5</c:v>
                      </c:pt>
                      <c:pt idx="1">
                        <c:v>2</c:v>
                      </c:pt>
                      <c:pt idx="2">
                        <c:v>4</c:v>
                      </c:pt>
                      <c:pt idx="3">
                        <c:v>0</c:v>
                      </c:pt>
                      <c:pt idx="4">
                        <c:v>2</c:v>
                      </c:pt>
                      <c:pt idx="5">
                        <c:v>0</c:v>
                      </c:pt>
                    </c:numCache>
                  </c:numRef>
                </c:val>
                <c:extLst>
                  <c:ext xmlns:c16="http://schemas.microsoft.com/office/drawing/2014/chart" uri="{C3380CC4-5D6E-409C-BE32-E72D297353CC}">
                    <c16:uniqueId val="{00000019-588B-4287-AF65-B5DA3F9FCB80}"/>
                  </c:ext>
                </c:extLst>
              </c15:ser>
            </c15:filteredPieSeries>
          </c:ext>
        </c:extLst>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3. ADU Size by Number of Bedrooms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tx>
            <c:strRef>
              <c:f>'City Overview'!$B$23</c:f>
              <c:strCache>
                <c:ptCount val="1"/>
                <c:pt idx="0">
                  <c:v>Count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606-4CA2-BCEE-0B75A1A4D32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606-4CA2-BCEE-0B75A1A4D3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606-4CA2-BCEE-0B75A1A4D32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606-4CA2-BCEE-0B75A1A4D32C}"/>
              </c:ext>
            </c:extLst>
          </c:dPt>
          <c:dLbls>
            <c:dLbl>
              <c:idx val="0"/>
              <c:layout>
                <c:manualLayout>
                  <c:x val="7.8562232495595047E-2"/>
                  <c:y val="2.883344367080928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06-4CA2-BCEE-0B75A1A4D32C}"/>
                </c:ext>
              </c:extLst>
            </c:dLbl>
            <c:dLbl>
              <c:idx val="1"/>
              <c:layout>
                <c:manualLayout>
                  <c:x val="7.199457112969633E-2"/>
                  <c:y val="-0.1616245129694514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06-4CA2-BCEE-0B75A1A4D32C}"/>
                </c:ext>
              </c:extLst>
            </c:dLbl>
            <c:dLbl>
              <c:idx val="2"/>
              <c:layout>
                <c:manualLayout>
                  <c:x val="-4.5130244168166633E-2"/>
                  <c:y val="0.1366307337717745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06-4CA2-BCEE-0B75A1A4D32C}"/>
                </c:ext>
              </c:extLst>
            </c:dLbl>
            <c:dLbl>
              <c:idx val="3"/>
              <c:layout>
                <c:manualLayout>
                  <c:x val="-4.7410770046188967E-2"/>
                  <c:y val="1.934535045579702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06-4CA2-BCEE-0B75A1A4D32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'City Overview'!$A$24:$A$27</c:f>
              <c:strCache>
                <c:ptCount val="4"/>
                <c:pt idx="0">
                  <c:v>Studio</c:v>
                </c:pt>
                <c:pt idx="1">
                  <c:v>1 Bedroom</c:v>
                </c:pt>
                <c:pt idx="2">
                  <c:v>2 Bedroom</c:v>
                </c:pt>
                <c:pt idx="3">
                  <c:v>3+ Bedroom</c:v>
                </c:pt>
              </c:strCache>
            </c:strRef>
          </c:cat>
          <c:val>
            <c:numRef>
              <c:f>'City Overview'!$B$24:$B$27</c:f>
              <c:numCache>
                <c:formatCode>General</c:formatCode>
                <c:ptCount val="4"/>
                <c:pt idx="0">
                  <c:v>7</c:v>
                </c:pt>
                <c:pt idx="1">
                  <c:v>1</c:v>
                </c:pt>
                <c:pt idx="2">
                  <c:v>5</c:v>
                </c:pt>
                <c:pt idx="3">
                  <c:v>0</c:v>
                </c:pt>
              </c:numCache>
            </c:numRef>
          </c:val>
          <c:extLst>
            <c:ext xmlns:c16="http://schemas.microsoft.com/office/drawing/2014/chart" uri="{C3380CC4-5D6E-409C-BE32-E72D297353CC}">
              <c16:uniqueId val="{00000008-9606-4CA2-BCEE-0B75A1A4D32C}"/>
            </c:ext>
          </c:extLst>
        </c:ser>
        <c:ser>
          <c:idx val="1"/>
          <c:order val="1"/>
          <c:tx>
            <c:strRef>
              <c:f>'City Overview'!$C$23</c:f>
              <c:strCache>
                <c:ptCount val="1"/>
                <c:pt idx="0">
                  <c:v>Percent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9606-4CA2-BCEE-0B75A1A4D32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9606-4CA2-BCEE-0B75A1A4D3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9606-4CA2-BCEE-0B75A1A4D32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9606-4CA2-BCEE-0B75A1A4D32C}"/>
              </c:ext>
            </c:extLst>
          </c:dPt>
          <c:dLbls>
            <c:delete val="1"/>
          </c:dLbls>
          <c:cat>
            <c:strRef>
              <c:f>'City Overview'!$A$24:$A$27</c:f>
              <c:strCache>
                <c:ptCount val="4"/>
                <c:pt idx="0">
                  <c:v>Studio</c:v>
                </c:pt>
                <c:pt idx="1">
                  <c:v>1 Bedroom</c:v>
                </c:pt>
                <c:pt idx="2">
                  <c:v>2 Bedroom</c:v>
                </c:pt>
                <c:pt idx="3">
                  <c:v>3+ Bedroom</c:v>
                </c:pt>
              </c:strCache>
            </c:strRef>
          </c:cat>
          <c:val>
            <c:numRef>
              <c:f>'City Overview'!$C$24:$C$27</c:f>
              <c:numCache>
                <c:formatCode>0%</c:formatCode>
                <c:ptCount val="4"/>
                <c:pt idx="0">
                  <c:v>0.53846153846153844</c:v>
                </c:pt>
                <c:pt idx="1">
                  <c:v>7.6923076923076927E-2</c:v>
                </c:pt>
                <c:pt idx="2">
                  <c:v>0.38461538461538464</c:v>
                </c:pt>
                <c:pt idx="3">
                  <c:v>0</c:v>
                </c:pt>
              </c:numCache>
            </c:numRef>
          </c:val>
          <c:extLst>
            <c:ext xmlns:c16="http://schemas.microsoft.com/office/drawing/2014/chart" uri="{C3380CC4-5D6E-409C-BE32-E72D297353CC}">
              <c16:uniqueId val="{00000011-9606-4CA2-BCEE-0B75A1A4D32C}"/>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6. Percent of ADUs by Rent Level</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'City Overview'!$D$35</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'City Overview'!$A$40:$A$51</c:f>
              <c:strCache>
                <c:ptCount val="12"/>
                <c:pt idx="0">
                  <c:v>$1 - $1,000</c:v>
                </c:pt>
                <c:pt idx="1">
                  <c:v>$1,001 - $1,500</c:v>
                </c:pt>
                <c:pt idx="2">
                  <c:v>$1,501 - $2,000</c:v>
                </c:pt>
                <c:pt idx="3">
                  <c:v>$2,001 - $2,500</c:v>
                </c:pt>
                <c:pt idx="4">
                  <c:v>$2,501 - $3,000</c:v>
                </c:pt>
                <c:pt idx="5">
                  <c:v>$3,001 - $3,500</c:v>
                </c:pt>
                <c:pt idx="6">
                  <c:v>$3,501 - $4,000</c:v>
                </c:pt>
                <c:pt idx="7">
                  <c:v>$4,001 - $4,500</c:v>
                </c:pt>
                <c:pt idx="8">
                  <c:v>More than $4,500</c:v>
                </c:pt>
                <c:pt idx="9">
                  <c:v>Not planning to use for housing</c:v>
                </c:pt>
                <c:pt idx="10">
                  <c:v>Not planning to charge rent</c:v>
                </c:pt>
                <c:pt idx="11">
                  <c:v>Decline to State</c:v>
                </c:pt>
              </c:strCache>
            </c:strRef>
          </c:cat>
          <c:val>
            <c:numRef>
              <c:f>'City Overview'!$C$40:$C$51</c:f>
              <c:numCache>
                <c:formatCode>0%</c:formatCode>
                <c:ptCount val="12"/>
                <c:pt idx="0">
                  <c:v>7.6923076923076927E-2</c:v>
                </c:pt>
                <c:pt idx="1">
                  <c:v>7.6923076923076927E-2</c:v>
                </c:pt>
                <c:pt idx="2">
                  <c:v>0.30769230769230771</c:v>
                </c:pt>
                <c:pt idx="3">
                  <c:v>0</c:v>
                </c:pt>
                <c:pt idx="4">
                  <c:v>7.6923076923076927E-2</c:v>
                </c:pt>
                <c:pt idx="5">
                  <c:v>0.15384615384615385</c:v>
                </c:pt>
                <c:pt idx="6">
                  <c:v>0</c:v>
                </c:pt>
                <c:pt idx="7">
                  <c:v>0</c:v>
                </c:pt>
                <c:pt idx="8">
                  <c:v>0</c:v>
                </c:pt>
                <c:pt idx="9">
                  <c:v>0</c:v>
                </c:pt>
                <c:pt idx="10">
                  <c:v>0.23076923076923078</c:v>
                </c:pt>
                <c:pt idx="11">
                  <c:v>7.6923076923076927E-2</c:v>
                </c:pt>
              </c:numCache>
            </c:numRef>
          </c:val>
          <c:extLst>
            <c:ext xmlns:c16="http://schemas.microsoft.com/office/drawing/2014/chart" uri="{C3380CC4-5D6E-409C-BE32-E72D297353CC}">
              <c16:uniqueId val="{00000000-8A83-40ED-A8EA-C7E251DA8B58}"/>
            </c:ext>
          </c:extLst>
        </c:ser>
        <c:dLbls>
          <c:showLegendKey val="0"/>
          <c:showVal val="0"/>
          <c:showCatName val="0"/>
          <c:showSerName val="0"/>
          <c:showPercent val="0"/>
          <c:showBubbleSize val="0"/>
        </c:dLbls>
        <c:gapWidth val="219"/>
        <c:overlap val="-27"/>
        <c:axId val="17862015"/>
        <c:axId val="17881983"/>
      </c:barChart>
      <c:catAx>
        <c:axId val="17862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81983"/>
        <c:crosses val="autoZero"/>
        <c:auto val="1"/>
        <c:lblAlgn val="ctr"/>
        <c:lblOffset val="100"/>
        <c:noMultiLvlLbl val="0"/>
      </c:catAx>
      <c:valAx>
        <c:axId val="1788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7862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7. Tenant Responsibility for ADU Utilities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7.4983137092641122E-2"/>
          <c:y val="1.5686708302060696E-2"/>
          <c:w val="0.92501686290735885"/>
          <c:h val="0.84566749702505961"/>
        </c:manualLayout>
      </c:layout>
      <c:barChart>
        <c:barDir val="col"/>
        <c:grouping val="clustered"/>
        <c:varyColors val="0"/>
        <c:ser>
          <c:idx val="1"/>
          <c:order val="1"/>
          <c:tx>
            <c:strRef>
              <c:f>'City Overview'!$C$54</c:f>
              <c:strCache>
                <c:ptCount val="1"/>
                <c:pt idx="0">
                  <c:v>Percent of Responses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'City Overview'!$A$55:$A$60</c:f>
              <c:strCache>
                <c:ptCount val="6"/>
                <c:pt idx="0">
                  <c:v>Not Sure</c:v>
                </c:pt>
                <c:pt idx="1">
                  <c:v>No Utilities</c:v>
                </c:pt>
                <c:pt idx="2">
                  <c:v>Electricity</c:v>
                </c:pt>
                <c:pt idx="3">
                  <c:v>Gas</c:v>
                </c:pt>
                <c:pt idx="4">
                  <c:v>Trash</c:v>
                </c:pt>
                <c:pt idx="5">
                  <c:v>Water/Sewer</c:v>
                </c:pt>
              </c:strCache>
            </c:strRef>
          </c:cat>
          <c:val>
            <c:numRef>
              <c:f>'City Overview'!$C$55:$C$60</c:f>
              <c:numCache>
                <c:formatCode>0%</c:formatCode>
                <c:ptCount val="6"/>
                <c:pt idx="0">
                  <c:v>0.38461538461538464</c:v>
                </c:pt>
                <c:pt idx="1">
                  <c:v>0.30769230769230771</c:v>
                </c:pt>
                <c:pt idx="2">
                  <c:v>0.30769230769230771</c:v>
                </c:pt>
                <c:pt idx="3">
                  <c:v>7.6923076923076927E-2</c:v>
                </c:pt>
                <c:pt idx="4">
                  <c:v>0.15384615384615385</c:v>
                </c:pt>
                <c:pt idx="5">
                  <c:v>0.23076923076923078</c:v>
                </c:pt>
              </c:numCache>
            </c:numRef>
          </c:val>
          <c:extLst>
            <c:ext xmlns:c16="http://schemas.microsoft.com/office/drawing/2014/chart" uri="{C3380CC4-5D6E-409C-BE32-E72D297353CC}">
              <c16:uniqueId val="{00000000-8D36-4F74-863B-7812383EDF8D}"/>
            </c:ext>
          </c:extLst>
        </c:ser>
        <c:dLbls>
          <c:showLegendKey val="0"/>
          <c:showVal val="0"/>
          <c:showCatName val="0"/>
          <c:showSerName val="0"/>
          <c:showPercent val="0"/>
          <c:showBubbleSize val="0"/>
        </c:dLbls>
        <c:gapWidth val="219"/>
        <c:overlap val="-27"/>
        <c:axId val="324115839"/>
        <c:axId val="324123327"/>
        <c:extLst>
          <c:ext xmlns:c15="http://schemas.microsoft.com/office/drawing/2012/chart" uri="{02D57815-91ED-43cb-92C2-25804820EDAC}">
            <c15:filteredBarSeries>
              <c15:ser>
                <c:idx val="0"/>
                <c:order val="0"/>
                <c:tx>
                  <c:strRef>
                    <c:extLst>
                      <c:ext uri="{02D57815-91ED-43cb-92C2-25804820EDAC}">
                        <c15:formulaRef>
                          <c15:sqref>'City Overview'!$B$54</c15:sqref>
                        </c15:formulaRef>
                      </c:ext>
                    </c:extLst>
                    <c:strCache>
                      <c:ptCount val="1"/>
                      <c:pt idx="0">
                        <c:v>Count of Responses</c:v>
                      </c:pt>
                    </c:strCache>
                  </c:strRef>
                </c:tx>
                <c:spPr>
                  <a:solidFill>
                    <a:schemeClr val="accent1"/>
                  </a:solidFill>
                  <a:ln>
                    <a:noFill/>
                  </a:ln>
                  <a:effectLst/>
                </c:spPr>
                <c:invertIfNegative val="0"/>
                <c:cat>
                  <c:strRef>
                    <c:extLst>
                      <c:ext uri="{02D57815-91ED-43cb-92C2-25804820EDAC}">
                        <c15:formulaRef>
                          <c15:sqref>'City Overview'!$A$55:$A$60</c15:sqref>
                        </c15:formulaRef>
                      </c:ext>
                    </c:extLst>
                    <c:strCache>
                      <c:ptCount val="6"/>
                      <c:pt idx="0">
                        <c:v>Not Sure</c:v>
                      </c:pt>
                      <c:pt idx="1">
                        <c:v>No Utilities</c:v>
                      </c:pt>
                      <c:pt idx="2">
                        <c:v>Electricity</c:v>
                      </c:pt>
                      <c:pt idx="3">
                        <c:v>Gas</c:v>
                      </c:pt>
                      <c:pt idx="4">
                        <c:v>Trash</c:v>
                      </c:pt>
                      <c:pt idx="5">
                        <c:v>Water/Sewer</c:v>
                      </c:pt>
                    </c:strCache>
                  </c:strRef>
                </c:cat>
                <c:val>
                  <c:numRef>
                    <c:extLst>
                      <c:ext uri="{02D57815-91ED-43cb-92C2-25804820EDAC}">
                        <c15:formulaRef>
                          <c15:sqref>'City Overview'!$B$55:$B$60</c15:sqref>
                        </c15:formulaRef>
                      </c:ext>
                    </c:extLst>
                    <c:numCache>
                      <c:formatCode>General</c:formatCode>
                      <c:ptCount val="6"/>
                      <c:pt idx="0">
                        <c:v>5</c:v>
                      </c:pt>
                      <c:pt idx="1">
                        <c:v>4</c:v>
                      </c:pt>
                      <c:pt idx="2">
                        <c:v>4</c:v>
                      </c:pt>
                      <c:pt idx="3">
                        <c:v>1</c:v>
                      </c:pt>
                      <c:pt idx="4">
                        <c:v>2</c:v>
                      </c:pt>
                      <c:pt idx="5">
                        <c:v>3</c:v>
                      </c:pt>
                    </c:numCache>
                  </c:numRef>
                </c:val>
                <c:extLst>
                  <c:ext xmlns:c16="http://schemas.microsoft.com/office/drawing/2014/chart" uri="{C3380CC4-5D6E-409C-BE32-E72D297353CC}">
                    <c16:uniqueId val="{00000001-8D36-4F74-863B-7812383EDF8D}"/>
                  </c:ext>
                </c:extLst>
              </c15:ser>
            </c15:filteredBarSeries>
          </c:ext>
        </c:extLst>
      </c:barChart>
      <c:catAx>
        <c:axId val="324115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24123327"/>
        <c:crosses val="autoZero"/>
        <c:auto val="1"/>
        <c:lblAlgn val="ctr"/>
        <c:lblOffset val="100"/>
        <c:noMultiLvlLbl val="0"/>
      </c:catAx>
      <c:valAx>
        <c:axId val="3241233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241158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2. Residential Use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tx>
            <c:strRef>
              <c:f>'City Overview'!$B$18</c:f>
              <c:strCache>
                <c:ptCount val="1"/>
                <c:pt idx="0">
                  <c:v>Count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0FC-4116-A9EA-2A4392665D4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0FC-4116-A9EA-2A4392665D46}"/>
              </c:ext>
            </c:extLst>
          </c:dPt>
          <c:dLbls>
            <c:dLbl>
              <c:idx val="0"/>
              <c:layout>
                <c:manualLayout>
                  <c:x val="3.7826864588295921E-2"/>
                  <c:y val="-0.3092057717113117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FC-4116-A9EA-2A4392665D46}"/>
                </c:ext>
              </c:extLst>
            </c:dLbl>
            <c:dLbl>
              <c:idx val="1"/>
              <c:layout>
                <c:manualLayout>
                  <c:x val="-1.7956048845794863E-2"/>
                  <c:y val="4.3576681221228493E-2"/>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5062904786273449"/>
                      <c:h val="0.12967762291104601"/>
                    </c:manualLayout>
                  </c15:layout>
                </c:ext>
                <c:ext xmlns:c16="http://schemas.microsoft.com/office/drawing/2014/chart" uri="{C3380CC4-5D6E-409C-BE32-E72D297353CC}">
                  <c16:uniqueId val="{00000003-30FC-4116-A9EA-2A4392665D46}"/>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'City Overview'!$A$19:$A$20</c:f>
              <c:strCache>
                <c:ptCount val="2"/>
                <c:pt idx="0">
                  <c:v>Yes, this unit will be used for housing.</c:v>
                </c:pt>
                <c:pt idx="1">
                  <c:v>No, this unit will not be used for housing.</c:v>
                </c:pt>
              </c:strCache>
            </c:strRef>
          </c:cat>
          <c:val>
            <c:numRef>
              <c:f>'City Overview'!$B$19:$B$20</c:f>
              <c:numCache>
                <c:formatCode>General</c:formatCode>
                <c:ptCount val="2"/>
                <c:pt idx="0">
                  <c:v>13</c:v>
                </c:pt>
                <c:pt idx="1">
                  <c:v>0</c:v>
                </c:pt>
              </c:numCache>
            </c:numRef>
          </c:val>
          <c:extLst>
            <c:ext xmlns:c16="http://schemas.microsoft.com/office/drawing/2014/chart" uri="{C3380CC4-5D6E-409C-BE32-E72D297353CC}">
              <c16:uniqueId val="{00000004-30FC-4116-A9EA-2A4392665D46}"/>
            </c:ext>
          </c:extLst>
        </c:ser>
        <c:ser>
          <c:idx val="1"/>
          <c:order val="1"/>
          <c:tx>
            <c:strRef>
              <c:f>'City Overview'!$C$23</c:f>
              <c:strCache>
                <c:ptCount val="1"/>
                <c:pt idx="0">
                  <c:v>Percent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6-30FC-4116-A9EA-2A4392665D4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30FC-4116-A9EA-2A4392665D4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A-30FC-4116-A9EA-2A4392665D4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C-30FC-4116-A9EA-2A4392665D46}"/>
              </c:ext>
            </c:extLst>
          </c:dPt>
          <c:dLbls>
            <c:delete val="1"/>
          </c:dLbls>
          <c:cat>
            <c:strRef>
              <c:f>'City Overview'!$A$19:$A$20</c:f>
              <c:strCache>
                <c:ptCount val="2"/>
                <c:pt idx="0">
                  <c:v>Yes, this unit will be used for housing.</c:v>
                </c:pt>
                <c:pt idx="1">
                  <c:v>No, this unit will not be used for housing.</c:v>
                </c:pt>
              </c:strCache>
            </c:strRef>
          </c:cat>
          <c:val>
            <c:numRef>
              <c:f>'City Overview'!$C$24:$C$27</c:f>
              <c:numCache>
                <c:formatCode>0%</c:formatCode>
                <c:ptCount val="4"/>
                <c:pt idx="0">
                  <c:v>0.53846153846153844</c:v>
                </c:pt>
                <c:pt idx="1">
                  <c:v>7.6923076923076927E-2</c:v>
                </c:pt>
                <c:pt idx="2">
                  <c:v>0.38461538461538464</c:v>
                </c:pt>
                <c:pt idx="3">
                  <c:v>0</c:v>
                </c:pt>
              </c:numCache>
            </c:numRef>
          </c:val>
          <c:extLst>
            <c:ext xmlns:c16="http://schemas.microsoft.com/office/drawing/2014/chart" uri="{C3380CC4-5D6E-409C-BE32-E72D297353CC}">
              <c16:uniqueId val="{0000000D-30FC-4116-A9EA-2A4392665D46}"/>
            </c:ext>
          </c:extLst>
        </c:ser>
        <c:dLbls>
          <c:showLegendKey val="0"/>
          <c:showVal val="0"/>
          <c:showCatName val="1"/>
          <c:showSerName val="0"/>
          <c:showPercent val="1"/>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1. Percent of Affordable ADUs by Income Level in Alameda County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'2025 Affordability by County'!$D$5</c:f>
              <c:strCache>
                <c:ptCount val="1"/>
                <c:pt idx="0">
                  <c:v>Percent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 Affordability by County'!$B$6:$B$10</c:f>
              <c:strCache>
                <c:ptCount val="5"/>
                <c:pt idx="0">
                  <c:v>Zero Rent / Extremely Low Income Units</c:v>
                </c:pt>
                <c:pt idx="1">
                  <c:v>Very Low Income Units</c:v>
                </c:pt>
                <c:pt idx="2">
                  <c:v>Low Income Units</c:v>
                </c:pt>
                <c:pt idx="3">
                  <c:v>Moderate Income Units</c:v>
                </c:pt>
                <c:pt idx="4">
                  <c:v>Above Moderate Units</c:v>
                </c:pt>
              </c:strCache>
            </c:strRef>
          </c:cat>
          <c:val>
            <c:numRef>
              <c:f>'2025 Affordability by County'!$D$6:$D$10</c:f>
              <c:numCache>
                <c:formatCode>0%</c:formatCode>
                <c:ptCount val="5"/>
                <c:pt idx="0">
                  <c:v>0.56694750000000005</c:v>
                </c:pt>
                <c:pt idx="1">
                  <c:v>9.2621638276553092E-2</c:v>
                </c:pt>
                <c:pt idx="2">
                  <c:v>0.20881763527054104</c:v>
                </c:pt>
                <c:pt idx="3">
                  <c:v>0.13161322645290582</c:v>
                </c:pt>
                <c:pt idx="4">
                  <c:v>0</c:v>
                </c:pt>
              </c:numCache>
            </c:numRef>
          </c:val>
          <c:extLst>
            <c:ext xmlns:c16="http://schemas.microsoft.com/office/drawing/2014/chart" uri="{C3380CC4-5D6E-409C-BE32-E72D297353CC}">
              <c16:uniqueId val="{00000000-FC9D-4711-8169-09893ABD21C7}"/>
            </c:ext>
          </c:extLst>
        </c:ser>
        <c:dLbls>
          <c:showLegendKey val="0"/>
          <c:showVal val="0"/>
          <c:showCatName val="0"/>
          <c:showSerName val="0"/>
          <c:showPercent val="0"/>
          <c:showBubbleSize val="0"/>
        </c:dLbls>
        <c:gapWidth val="219"/>
        <c:overlap val="-27"/>
        <c:axId val="17862015"/>
        <c:axId val="17881983"/>
      </c:barChart>
      <c:catAx>
        <c:axId val="17862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7881983"/>
        <c:crosses val="autoZero"/>
        <c:auto val="1"/>
        <c:lblAlgn val="ctr"/>
        <c:lblOffset val="100"/>
        <c:noMultiLvlLbl val="0"/>
      </c:catAx>
      <c:valAx>
        <c:axId val="1788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7862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0" i="0" u="none" strike="noStrike" baseline="0">
                <a:solidFill>
                  <a:schemeClr val="tx1"/>
                </a:solidFill>
                <a:effectLst/>
              </a:rPr>
              <a:t>2. Percent</a:t>
            </a:r>
            <a:r>
              <a:rPr lang="en-US" sz="1800" baseline="0">
                <a:solidFill>
                  <a:schemeClr val="tx1"/>
                </a:solidFill>
              </a:rPr>
              <a:t> of Affordable ADUs by Income Level in Contra Costa County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'2025 Affordability by County'!$D$17</c:f>
              <c:strCache>
                <c:ptCount val="1"/>
                <c:pt idx="0">
                  <c:v>Percent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 Affordability by County'!$B$18:$B$22</c:f>
              <c:strCache>
                <c:ptCount val="5"/>
                <c:pt idx="0">
                  <c:v>Zero Rent / Extremely Low Income Units</c:v>
                </c:pt>
                <c:pt idx="1">
                  <c:v>Very Low Income Units</c:v>
                </c:pt>
                <c:pt idx="2">
                  <c:v>Low Income Units</c:v>
                </c:pt>
                <c:pt idx="3">
                  <c:v>Moderate Income Units</c:v>
                </c:pt>
                <c:pt idx="4">
                  <c:v>Above Moderate Units</c:v>
                </c:pt>
              </c:strCache>
            </c:strRef>
          </c:cat>
          <c:val>
            <c:numRef>
              <c:f>'2025 Affordability by County'!$D$18:$D$22</c:f>
              <c:numCache>
                <c:formatCode>0%</c:formatCode>
                <c:ptCount val="5"/>
                <c:pt idx="0">
                  <c:v>0.45764104876419515</c:v>
                </c:pt>
                <c:pt idx="1">
                  <c:v>0.21954665998663997</c:v>
                </c:pt>
                <c:pt idx="2">
                  <c:v>0.27085652787055592</c:v>
                </c:pt>
                <c:pt idx="3">
                  <c:v>4.8541527499443335E-2</c:v>
                </c:pt>
                <c:pt idx="4">
                  <c:v>3.4142358791657396E-3</c:v>
                </c:pt>
              </c:numCache>
            </c:numRef>
          </c:val>
          <c:extLst>
            <c:ext xmlns:c16="http://schemas.microsoft.com/office/drawing/2014/chart" uri="{C3380CC4-5D6E-409C-BE32-E72D297353CC}">
              <c16:uniqueId val="{00000000-856F-4C1C-B0E8-111295DCA025}"/>
            </c:ext>
          </c:extLst>
        </c:ser>
        <c:dLbls>
          <c:showLegendKey val="0"/>
          <c:showVal val="0"/>
          <c:showCatName val="0"/>
          <c:showSerName val="0"/>
          <c:showPercent val="0"/>
          <c:showBubbleSize val="0"/>
        </c:dLbls>
        <c:gapWidth val="219"/>
        <c:overlap val="-27"/>
        <c:axId val="17862015"/>
        <c:axId val="17881983"/>
      </c:barChart>
      <c:catAx>
        <c:axId val="17862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7881983"/>
        <c:crosses val="autoZero"/>
        <c:auto val="1"/>
        <c:lblAlgn val="ctr"/>
        <c:lblOffset val="100"/>
        <c:noMultiLvlLbl val="0"/>
      </c:catAx>
      <c:valAx>
        <c:axId val="1788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7862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0" i="0" u="none" strike="noStrike" baseline="0">
                <a:solidFill>
                  <a:schemeClr val="tx1"/>
                </a:solidFill>
                <a:effectLst/>
              </a:rPr>
              <a:t>3. Percent</a:t>
            </a:r>
            <a:r>
              <a:rPr lang="en-US" sz="1800" baseline="0">
                <a:solidFill>
                  <a:schemeClr val="tx1"/>
                </a:solidFill>
              </a:rPr>
              <a:t> of Affordable ADUs by Income Level in Marin County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'2025 Affordability by County'!$D$29</c:f>
              <c:strCache>
                <c:ptCount val="1"/>
                <c:pt idx="0">
                  <c:v>Percent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 Affordability by County'!$B$30:$B$34</c:f>
              <c:strCache>
                <c:ptCount val="5"/>
                <c:pt idx="0">
                  <c:v>Zero Rent / Extremely Low Income Units</c:v>
                </c:pt>
                <c:pt idx="1">
                  <c:v>Very Low Income Units</c:v>
                </c:pt>
                <c:pt idx="2">
                  <c:v>Low Income Units</c:v>
                </c:pt>
                <c:pt idx="3">
                  <c:v>Moderate Income Units</c:v>
                </c:pt>
                <c:pt idx="4">
                  <c:v>Above Moderate Units</c:v>
                </c:pt>
              </c:strCache>
            </c:strRef>
          </c:cat>
          <c:val>
            <c:numRef>
              <c:f>'2025 Affordability by County'!$D$30:$D$34</c:f>
              <c:numCache>
                <c:formatCode>0%</c:formatCode>
                <c:ptCount val="5"/>
                <c:pt idx="0">
                  <c:v>0.5625</c:v>
                </c:pt>
                <c:pt idx="1">
                  <c:v>0.26214929859719438</c:v>
                </c:pt>
                <c:pt idx="2">
                  <c:v>0.11285070140280562</c:v>
                </c:pt>
                <c:pt idx="3">
                  <c:v>6.25E-2</c:v>
                </c:pt>
                <c:pt idx="4">
                  <c:v>0</c:v>
                </c:pt>
              </c:numCache>
            </c:numRef>
          </c:val>
          <c:extLst>
            <c:ext xmlns:c16="http://schemas.microsoft.com/office/drawing/2014/chart" uri="{C3380CC4-5D6E-409C-BE32-E72D297353CC}">
              <c16:uniqueId val="{00000000-6AD7-48E9-A190-C96813EC2AA1}"/>
            </c:ext>
          </c:extLst>
        </c:ser>
        <c:dLbls>
          <c:showLegendKey val="0"/>
          <c:showVal val="0"/>
          <c:showCatName val="0"/>
          <c:showSerName val="0"/>
          <c:showPercent val="0"/>
          <c:showBubbleSize val="0"/>
        </c:dLbls>
        <c:gapWidth val="219"/>
        <c:overlap val="-27"/>
        <c:axId val="17862015"/>
        <c:axId val="17881983"/>
      </c:barChart>
      <c:catAx>
        <c:axId val="17862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81983"/>
        <c:crosses val="autoZero"/>
        <c:auto val="1"/>
        <c:lblAlgn val="ctr"/>
        <c:lblOffset val="100"/>
        <c:noMultiLvlLbl val="0"/>
      </c:catAx>
      <c:valAx>
        <c:axId val="1788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62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0" i="0" u="none" strike="noStrike" baseline="0">
                <a:solidFill>
                  <a:schemeClr val="tx1"/>
                </a:solidFill>
                <a:effectLst/>
              </a:rPr>
              <a:t>4. Percent</a:t>
            </a:r>
            <a:r>
              <a:rPr lang="en-US" sz="1800" baseline="0">
                <a:solidFill>
                  <a:schemeClr val="tx1"/>
                </a:solidFill>
              </a:rPr>
              <a:t> of Affordable ADUs by Income Level in Napa County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'2025 Affordability by County'!$D$41</c:f>
              <c:strCache>
                <c:ptCount val="1"/>
                <c:pt idx="0">
                  <c:v>Percent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 Affordability by County'!$B$42:$B$46</c:f>
              <c:strCache>
                <c:ptCount val="5"/>
                <c:pt idx="0">
                  <c:v>Zero Rent / Extremely Low Income Units</c:v>
                </c:pt>
                <c:pt idx="1">
                  <c:v>Very Low Income Units</c:v>
                </c:pt>
                <c:pt idx="2">
                  <c:v>Low Income Units</c:v>
                </c:pt>
                <c:pt idx="3">
                  <c:v>Moderate Income Units</c:v>
                </c:pt>
                <c:pt idx="4">
                  <c:v>Above Moderate Units</c:v>
                </c:pt>
              </c:strCache>
            </c:strRef>
          </c:cat>
          <c:val>
            <c:numRef>
              <c:f>'2025 Affordability by County'!$D$42:$D$46</c:f>
              <c:numCache>
                <c:formatCode>0%</c:formatCode>
                <c:ptCount val="5"/>
                <c:pt idx="0">
                  <c:v>0.75</c:v>
                </c:pt>
                <c:pt idx="1">
                  <c:v>0</c:v>
                </c:pt>
                <c:pt idx="2">
                  <c:v>0.17344689378757505</c:v>
                </c:pt>
                <c:pt idx="3">
                  <c:v>7.6553106212424948E-2</c:v>
                </c:pt>
                <c:pt idx="4">
                  <c:v>0</c:v>
                </c:pt>
              </c:numCache>
            </c:numRef>
          </c:val>
          <c:extLst>
            <c:ext xmlns:c16="http://schemas.microsoft.com/office/drawing/2014/chart" uri="{C3380CC4-5D6E-409C-BE32-E72D297353CC}">
              <c16:uniqueId val="{00000000-ED4E-4918-8261-3B5232D0D089}"/>
            </c:ext>
          </c:extLst>
        </c:ser>
        <c:dLbls>
          <c:showLegendKey val="0"/>
          <c:showVal val="0"/>
          <c:showCatName val="0"/>
          <c:showSerName val="0"/>
          <c:showPercent val="0"/>
          <c:showBubbleSize val="0"/>
        </c:dLbls>
        <c:gapWidth val="219"/>
        <c:overlap val="-27"/>
        <c:axId val="17862015"/>
        <c:axId val="17881983"/>
      </c:barChart>
      <c:catAx>
        <c:axId val="17862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7881983"/>
        <c:crosses val="autoZero"/>
        <c:auto val="1"/>
        <c:lblAlgn val="ctr"/>
        <c:lblOffset val="100"/>
        <c:noMultiLvlLbl val="0"/>
      </c:catAx>
      <c:valAx>
        <c:axId val="1788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62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0" i="0" u="none" strike="noStrike" baseline="0">
                <a:solidFill>
                  <a:schemeClr val="tx1"/>
                </a:solidFill>
                <a:effectLst/>
              </a:rPr>
              <a:t>6. Percent</a:t>
            </a:r>
            <a:r>
              <a:rPr lang="en-US" sz="1800" baseline="0">
                <a:solidFill>
                  <a:schemeClr val="tx1"/>
                </a:solidFill>
              </a:rPr>
              <a:t> of Affordable ADUs by Income Level in San Mateo County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'2025 Affordability by County'!$D$65</c:f>
              <c:strCache>
                <c:ptCount val="1"/>
                <c:pt idx="0">
                  <c:v>Percent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 Affordability by County'!$B$66:$B$70</c:f>
              <c:strCache>
                <c:ptCount val="5"/>
                <c:pt idx="0">
                  <c:v>Zero Rent / Extremely Low Income Units</c:v>
                </c:pt>
                <c:pt idx="1">
                  <c:v>Very Low Income Units</c:v>
                </c:pt>
                <c:pt idx="2">
                  <c:v>Low Income Units</c:v>
                </c:pt>
                <c:pt idx="3">
                  <c:v>Moderate Income Units</c:v>
                </c:pt>
                <c:pt idx="4">
                  <c:v>Above Moderate Units</c:v>
                </c:pt>
              </c:strCache>
            </c:strRef>
          </c:cat>
          <c:val>
            <c:numRef>
              <c:f>'2025 Affordability by County'!$D$66:$D$70</c:f>
              <c:numCache>
                <c:formatCode>0%</c:formatCode>
                <c:ptCount val="5"/>
                <c:pt idx="0">
                  <c:v>0.52148157282306551</c:v>
                </c:pt>
                <c:pt idx="1">
                  <c:v>0.16291410024349773</c:v>
                </c:pt>
                <c:pt idx="2">
                  <c:v>0.24071907255370958</c:v>
                </c:pt>
                <c:pt idx="3">
                  <c:v>7.488525437972722E-2</c:v>
                </c:pt>
                <c:pt idx="4">
                  <c:v>0</c:v>
                </c:pt>
              </c:numCache>
            </c:numRef>
          </c:val>
          <c:extLst>
            <c:ext xmlns:c16="http://schemas.microsoft.com/office/drawing/2014/chart" uri="{C3380CC4-5D6E-409C-BE32-E72D297353CC}">
              <c16:uniqueId val="{00000000-364E-4AB4-AB3B-A623679E1534}"/>
            </c:ext>
          </c:extLst>
        </c:ser>
        <c:dLbls>
          <c:showLegendKey val="0"/>
          <c:showVal val="0"/>
          <c:showCatName val="0"/>
          <c:showSerName val="0"/>
          <c:showPercent val="0"/>
          <c:showBubbleSize val="0"/>
        </c:dLbls>
        <c:gapWidth val="219"/>
        <c:overlap val="-27"/>
        <c:axId val="17862015"/>
        <c:axId val="17881983"/>
      </c:barChart>
      <c:catAx>
        <c:axId val="17862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81983"/>
        <c:crosses val="autoZero"/>
        <c:auto val="1"/>
        <c:lblAlgn val="ctr"/>
        <c:lblOffset val="100"/>
        <c:noMultiLvlLbl val="0"/>
      </c:catAx>
      <c:valAx>
        <c:axId val="1788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62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4. ADU Size by Square Footage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pieChart>
        <c:varyColors val="1"/>
        <c:ser>
          <c:idx val="1"/>
          <c:order val="1"/>
          <c:tx>
            <c:strRef>
              <c:f>'Regional Overview'!$C$40</c:f>
              <c:strCache>
                <c:ptCount val="1"/>
                <c:pt idx="0">
                  <c:v>Percent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38B-4DCF-93C4-5E7B5EBEBD8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38B-4DCF-93C4-5E7B5EBEBD8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38B-4DCF-93C4-5E7B5EBEBD8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38B-4DCF-93C4-5E7B5EBEBD8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38B-4DCF-93C4-5E7B5EBEBD8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38B-4DCF-93C4-5E7B5EBEBD83}"/>
              </c:ext>
            </c:extLst>
          </c:dPt>
          <c:dLbls>
            <c:dLbl>
              <c:idx val="0"/>
              <c:layout>
                <c:manualLayout>
                  <c:x val="1.6890578815608247E-2"/>
                  <c:y val="4.56169885400262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8B-4DCF-93C4-5E7B5EBEBD83}"/>
                </c:ext>
              </c:extLst>
            </c:dLbl>
            <c:dLbl>
              <c:idx val="1"/>
              <c:layout>
                <c:manualLayout>
                  <c:x val="-0.12470879466884434"/>
                  <c:y val="-8.56373720198313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38B-4DCF-93C4-5E7B5EBEBD83}"/>
                </c:ext>
              </c:extLst>
            </c:dLbl>
            <c:dLbl>
              <c:idx val="2"/>
              <c:layout>
                <c:manualLayout>
                  <c:x val="-2.3583614172131666E-2"/>
                  <c:y val="8.08185258712468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38B-4DCF-93C4-5E7B5EBEBD83}"/>
                </c:ext>
              </c:extLst>
            </c:dLbl>
            <c:dLbl>
              <c:idx val="3"/>
              <c:layout>
                <c:manualLayout>
                  <c:x val="-6.3525393938167446E-2"/>
                  <c:y val="1.00112821313410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38B-4DCF-93C4-5E7B5EBEBD83}"/>
                </c:ext>
              </c:extLst>
            </c:dLbl>
            <c:dLbl>
              <c:idx val="4"/>
              <c:layout>
                <c:manualLayout>
                  <c:x val="7.8630647478760019E-3"/>
                  <c:y val="-7.1543358550479486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38B-4DCF-93C4-5E7B5EBEBD83}"/>
                </c:ext>
              </c:extLst>
            </c:dLbl>
            <c:dLbl>
              <c:idx val="5"/>
              <c:layout>
                <c:manualLayout>
                  <c:x val="0.25553633277925786"/>
                  <c:y val="4.02764205483571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38B-4DCF-93C4-5E7B5EBEBD8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'Regional Overview'!$A$41:$A$46</c:f>
              <c:strCache>
                <c:ptCount val="6"/>
                <c:pt idx="0">
                  <c:v>Less than or equal to 500 sf</c:v>
                </c:pt>
                <c:pt idx="1">
                  <c:v>501 - 750 sf</c:v>
                </c:pt>
                <c:pt idx="2">
                  <c:v>751 - 1,000 sf</c:v>
                </c:pt>
                <c:pt idx="3">
                  <c:v>1,001 - 1,250 sf</c:v>
                </c:pt>
                <c:pt idx="4">
                  <c:v>1,251 + sf</c:v>
                </c:pt>
                <c:pt idx="5">
                  <c:v>Did not answer</c:v>
                </c:pt>
              </c:strCache>
            </c:strRef>
          </c:cat>
          <c:val>
            <c:numRef>
              <c:f>'Regional Overview'!$C$41:$C$46</c:f>
              <c:numCache>
                <c:formatCode>0%</c:formatCode>
                <c:ptCount val="6"/>
                <c:pt idx="0">
                  <c:v>0.40330578512396692</c:v>
                </c:pt>
                <c:pt idx="1">
                  <c:v>0.32727272727272727</c:v>
                </c:pt>
                <c:pt idx="2">
                  <c:v>0.21322314049586777</c:v>
                </c:pt>
                <c:pt idx="3">
                  <c:v>3.4710743801652892E-2</c:v>
                </c:pt>
                <c:pt idx="4">
                  <c:v>1.487603305785124E-2</c:v>
                </c:pt>
                <c:pt idx="5">
                  <c:v>6.6115702479338841E-3</c:v>
                </c:pt>
              </c:numCache>
            </c:numRef>
          </c:val>
          <c:extLst>
            <c:ext xmlns:c16="http://schemas.microsoft.com/office/drawing/2014/chart" uri="{C3380CC4-5D6E-409C-BE32-E72D297353CC}">
              <c16:uniqueId val="{00000001-E822-461D-B5F1-CECF47A44E0A}"/>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'Regional Overview'!$B$40</c15:sqref>
                        </c15:formulaRef>
                      </c:ext>
                    </c:extLst>
                    <c:strCache>
                      <c:ptCount val="1"/>
                      <c:pt idx="0">
                        <c:v>Count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038B-4DCF-93C4-5E7B5EBEBD8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038B-4DCF-93C4-5E7B5EBEBD8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1-038B-4DCF-93C4-5E7B5EBEBD8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3-038B-4DCF-93C4-5E7B5EBEBD8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5-038B-4DCF-93C4-5E7B5EBEBD8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7-038B-4DCF-93C4-5E7B5EBEBD8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'Regional Overview'!$A$41:$A$46</c15:sqref>
                        </c15:formulaRef>
                      </c:ext>
                    </c:extLst>
                    <c:strCache>
                      <c:ptCount val="6"/>
                      <c:pt idx="0">
                        <c:v>Less than or equal to 500 sf</c:v>
                      </c:pt>
                      <c:pt idx="1">
                        <c:v>501 - 750 sf</c:v>
                      </c:pt>
                      <c:pt idx="2">
                        <c:v>751 - 1,000 sf</c:v>
                      </c:pt>
                      <c:pt idx="3">
                        <c:v>1,001 - 1,250 sf</c:v>
                      </c:pt>
                      <c:pt idx="4">
                        <c:v>1,251 + sf</c:v>
                      </c:pt>
                      <c:pt idx="5">
                        <c:v>Did not answer</c:v>
                      </c:pt>
                    </c:strCache>
                  </c:strRef>
                </c:cat>
                <c:val>
                  <c:numRef>
                    <c:extLst>
                      <c:ext uri="{02D57815-91ED-43cb-92C2-25804820EDAC}">
                        <c15:formulaRef>
                          <c15:sqref>'Regional Overview'!$B$41:$B$46</c15:sqref>
                        </c15:formulaRef>
                      </c:ext>
                    </c:extLst>
                    <c:numCache>
                      <c:formatCode>General</c:formatCode>
                      <c:ptCount val="6"/>
                      <c:pt idx="0">
                        <c:v>244</c:v>
                      </c:pt>
                      <c:pt idx="1">
                        <c:v>198</c:v>
                      </c:pt>
                      <c:pt idx="2">
                        <c:v>129</c:v>
                      </c:pt>
                      <c:pt idx="3">
                        <c:v>21</c:v>
                      </c:pt>
                      <c:pt idx="4">
                        <c:v>9</c:v>
                      </c:pt>
                      <c:pt idx="5">
                        <c:v>4</c:v>
                      </c:pt>
                    </c:numCache>
                  </c:numRef>
                </c:val>
                <c:extLst>
                  <c:ext xmlns:c16="http://schemas.microsoft.com/office/drawing/2014/chart" uri="{C3380CC4-5D6E-409C-BE32-E72D297353CC}">
                    <c16:uniqueId val="{00000000-E822-461D-B5F1-CECF47A44E0A}"/>
                  </c:ext>
                </c:extLst>
              </c15:ser>
            </c15:filteredPieSeries>
          </c:ext>
        </c:extLst>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0" i="0" u="none" strike="noStrike" baseline="0">
                <a:solidFill>
                  <a:schemeClr val="tx1"/>
                </a:solidFill>
                <a:effectLst/>
              </a:rPr>
              <a:t>7. Percent</a:t>
            </a:r>
            <a:r>
              <a:rPr lang="en-US" sz="1800" baseline="0">
                <a:solidFill>
                  <a:schemeClr val="tx1"/>
                </a:solidFill>
              </a:rPr>
              <a:t> of Affordable ADUs by Income Level in Santa Clara County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'2025 Affordability by County'!$D$77</c:f>
              <c:strCache>
                <c:ptCount val="1"/>
                <c:pt idx="0">
                  <c:v>Percent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 Affordability by County'!$B$78:$B$82</c:f>
              <c:strCache>
                <c:ptCount val="5"/>
                <c:pt idx="0">
                  <c:v>Zero Rent / Extremely Low Income Units</c:v>
                </c:pt>
                <c:pt idx="1">
                  <c:v>Very Low Income Units</c:v>
                </c:pt>
                <c:pt idx="2">
                  <c:v>Low Income Units</c:v>
                </c:pt>
                <c:pt idx="3">
                  <c:v>Moderate Income Units</c:v>
                </c:pt>
                <c:pt idx="4">
                  <c:v>Above Moderate Units</c:v>
                </c:pt>
              </c:strCache>
            </c:strRef>
          </c:cat>
          <c:val>
            <c:numRef>
              <c:f>'2025 Affordability by County'!$D$78:$D$82</c:f>
              <c:numCache>
                <c:formatCode>0%</c:formatCode>
                <c:ptCount val="5"/>
                <c:pt idx="0">
                  <c:v>0.63571189999045707</c:v>
                </c:pt>
                <c:pt idx="1">
                  <c:v>9.2244011833190184E-2</c:v>
                </c:pt>
                <c:pt idx="2">
                  <c:v>0.18891831281610838</c:v>
                </c:pt>
                <c:pt idx="3">
                  <c:v>8.3125775360244319E-2</c:v>
                </c:pt>
                <c:pt idx="4">
                  <c:v>0</c:v>
                </c:pt>
              </c:numCache>
            </c:numRef>
          </c:val>
          <c:extLst>
            <c:ext xmlns:c16="http://schemas.microsoft.com/office/drawing/2014/chart" uri="{C3380CC4-5D6E-409C-BE32-E72D297353CC}">
              <c16:uniqueId val="{00000000-B213-4E79-902E-989CBC8BFC65}"/>
            </c:ext>
          </c:extLst>
        </c:ser>
        <c:dLbls>
          <c:showLegendKey val="0"/>
          <c:showVal val="0"/>
          <c:showCatName val="0"/>
          <c:showSerName val="0"/>
          <c:showPercent val="0"/>
          <c:showBubbleSize val="0"/>
        </c:dLbls>
        <c:gapWidth val="219"/>
        <c:overlap val="-27"/>
        <c:axId val="17862015"/>
        <c:axId val="17881983"/>
      </c:barChart>
      <c:catAx>
        <c:axId val="17862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81983"/>
        <c:crosses val="autoZero"/>
        <c:auto val="1"/>
        <c:lblAlgn val="ctr"/>
        <c:lblOffset val="100"/>
        <c:noMultiLvlLbl val="0"/>
      </c:catAx>
      <c:valAx>
        <c:axId val="1788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62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0" i="0" u="none" strike="noStrike" baseline="0">
                <a:solidFill>
                  <a:schemeClr val="tx1"/>
                </a:solidFill>
                <a:effectLst/>
              </a:rPr>
              <a:t>8. Percent</a:t>
            </a:r>
            <a:r>
              <a:rPr lang="en-US" sz="1800" baseline="0">
                <a:solidFill>
                  <a:schemeClr val="tx1"/>
                </a:solidFill>
              </a:rPr>
              <a:t> of Affordable ADUs by Income Level in Solano County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'2025 Affordability by County'!$D$89</c:f>
              <c:strCache>
                <c:ptCount val="1"/>
                <c:pt idx="0">
                  <c:v>Percent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 Affordability by County'!$B$90:$B$94</c:f>
              <c:strCache>
                <c:ptCount val="5"/>
                <c:pt idx="0">
                  <c:v>Zero Rent / Extremely Low Income Units</c:v>
                </c:pt>
                <c:pt idx="1">
                  <c:v>Very Low Income Units</c:v>
                </c:pt>
                <c:pt idx="2">
                  <c:v>Low Income Units</c:v>
                </c:pt>
                <c:pt idx="3">
                  <c:v>Moderate Income Units</c:v>
                </c:pt>
                <c:pt idx="4">
                  <c:v>Above Moderate Units</c:v>
                </c:pt>
              </c:strCache>
            </c:strRef>
          </c:cat>
          <c:val>
            <c:numRef>
              <c:f>'2025 Affordability by County'!$D$90:$D$94</c:f>
              <c:numCache>
                <c:formatCode>0%</c:formatCode>
                <c:ptCount val="5"/>
                <c:pt idx="0">
                  <c:v>0.4794205882352941</c:v>
                </c:pt>
                <c:pt idx="1">
                  <c:v>0.14211660379582694</c:v>
                </c:pt>
                <c:pt idx="2">
                  <c:v>0.28931981610279378</c:v>
                </c:pt>
                <c:pt idx="3">
                  <c:v>8.9142991866085153E-2</c:v>
                </c:pt>
                <c:pt idx="4">
                  <c:v>0</c:v>
                </c:pt>
              </c:numCache>
            </c:numRef>
          </c:val>
          <c:extLst>
            <c:ext xmlns:c16="http://schemas.microsoft.com/office/drawing/2014/chart" uri="{C3380CC4-5D6E-409C-BE32-E72D297353CC}">
              <c16:uniqueId val="{00000000-501E-4950-BC32-913FF7175982}"/>
            </c:ext>
          </c:extLst>
        </c:ser>
        <c:dLbls>
          <c:showLegendKey val="0"/>
          <c:showVal val="0"/>
          <c:showCatName val="0"/>
          <c:showSerName val="0"/>
          <c:showPercent val="0"/>
          <c:showBubbleSize val="0"/>
        </c:dLbls>
        <c:gapWidth val="219"/>
        <c:overlap val="-27"/>
        <c:axId val="17862015"/>
        <c:axId val="17881983"/>
      </c:barChart>
      <c:catAx>
        <c:axId val="17862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81983"/>
        <c:crosses val="autoZero"/>
        <c:auto val="1"/>
        <c:lblAlgn val="ctr"/>
        <c:lblOffset val="100"/>
        <c:noMultiLvlLbl val="0"/>
      </c:catAx>
      <c:valAx>
        <c:axId val="1788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62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0" i="0" u="none" strike="noStrike" baseline="0">
                <a:solidFill>
                  <a:schemeClr val="tx1"/>
                </a:solidFill>
                <a:effectLst/>
              </a:rPr>
              <a:t>9. Percent</a:t>
            </a:r>
            <a:r>
              <a:rPr lang="en-US" sz="1800" baseline="0">
                <a:solidFill>
                  <a:schemeClr val="tx1"/>
                </a:solidFill>
              </a:rPr>
              <a:t> of Affordable ADUs by Income Level in Sonoma County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'2025 Affordability by County'!$D$101</c:f>
              <c:strCache>
                <c:ptCount val="1"/>
                <c:pt idx="0">
                  <c:v>Percent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 Affordability by County'!$B$102:$B$106</c:f>
              <c:strCache>
                <c:ptCount val="5"/>
                <c:pt idx="0">
                  <c:v>Zero Rent / Extremely Low Income Units</c:v>
                </c:pt>
                <c:pt idx="1">
                  <c:v>Very Low Income Units</c:v>
                </c:pt>
                <c:pt idx="2">
                  <c:v>Low Income Units</c:v>
                </c:pt>
                <c:pt idx="3">
                  <c:v>Moderate Income Units</c:v>
                </c:pt>
                <c:pt idx="4">
                  <c:v>Above Moderate Units</c:v>
                </c:pt>
              </c:strCache>
            </c:strRef>
          </c:cat>
          <c:val>
            <c:numRef>
              <c:f>'2025 Affordability by County'!$D$102:$D$106</c:f>
              <c:numCache>
                <c:formatCode>0%</c:formatCode>
                <c:ptCount val="5"/>
                <c:pt idx="0">
                  <c:v>0.34935714285714287</c:v>
                </c:pt>
                <c:pt idx="1">
                  <c:v>6.5257801316919564E-2</c:v>
                </c:pt>
                <c:pt idx="2">
                  <c:v>0.23339536215287718</c:v>
                </c:pt>
                <c:pt idx="3">
                  <c:v>0.32822788434010874</c:v>
                </c:pt>
                <c:pt idx="4">
                  <c:v>2.3761809332951616E-2</c:v>
                </c:pt>
              </c:numCache>
            </c:numRef>
          </c:val>
          <c:extLst>
            <c:ext xmlns:c16="http://schemas.microsoft.com/office/drawing/2014/chart" uri="{C3380CC4-5D6E-409C-BE32-E72D297353CC}">
              <c16:uniqueId val="{00000000-90CB-4C07-B6FA-16C64698EAA2}"/>
            </c:ext>
          </c:extLst>
        </c:ser>
        <c:dLbls>
          <c:showLegendKey val="0"/>
          <c:showVal val="0"/>
          <c:showCatName val="0"/>
          <c:showSerName val="0"/>
          <c:showPercent val="0"/>
          <c:showBubbleSize val="0"/>
        </c:dLbls>
        <c:gapWidth val="219"/>
        <c:overlap val="-27"/>
        <c:axId val="17862015"/>
        <c:axId val="17881983"/>
      </c:barChart>
      <c:catAx>
        <c:axId val="17862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81983"/>
        <c:crosses val="autoZero"/>
        <c:auto val="1"/>
        <c:lblAlgn val="ctr"/>
        <c:lblOffset val="100"/>
        <c:noMultiLvlLbl val="0"/>
      </c:catAx>
      <c:valAx>
        <c:axId val="1788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62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0" i="0" u="none" strike="noStrike" baseline="0">
                <a:solidFill>
                  <a:schemeClr val="tx1"/>
                </a:solidFill>
                <a:effectLst/>
              </a:rPr>
              <a:t>5. Percent</a:t>
            </a:r>
            <a:r>
              <a:rPr lang="en-US" sz="1800" baseline="0">
                <a:solidFill>
                  <a:schemeClr val="tx1"/>
                </a:solidFill>
              </a:rPr>
              <a:t> of Affordable ADUs by Income Level in San Francisco County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'2025 Affordability by County'!$D$53</c:f>
              <c:strCache>
                <c:ptCount val="1"/>
                <c:pt idx="0">
                  <c:v>Percent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 Affordability by County'!$B$54:$B$58</c:f>
              <c:strCache>
                <c:ptCount val="5"/>
                <c:pt idx="0">
                  <c:v>Zero Rent / Extremely Low Income Units</c:v>
                </c:pt>
                <c:pt idx="1">
                  <c:v>Very Low Income Units</c:v>
                </c:pt>
                <c:pt idx="2">
                  <c:v>Low Income Units</c:v>
                </c:pt>
                <c:pt idx="3">
                  <c:v>Moderate Income Units</c:v>
                </c:pt>
                <c:pt idx="4">
                  <c:v>Above Moderate Units</c:v>
                </c:pt>
              </c:strCache>
            </c:strRef>
          </c:cat>
          <c:val>
            <c:numRef>
              <c:f>'2025 Affordability by County'!$D$54:$D$58</c:f>
              <c:numCache>
                <c:formatCode>0%</c:formatCode>
                <c:ptCount val="5"/>
                <c:pt idx="0">
                  <c:v>0.13604275324843235</c:v>
                </c:pt>
                <c:pt idx="1">
                  <c:v>0.12995698816988818</c:v>
                </c:pt>
                <c:pt idx="2">
                  <c:v>0.52474303445600867</c:v>
                </c:pt>
                <c:pt idx="3">
                  <c:v>0.20925722412567074</c:v>
                </c:pt>
                <c:pt idx="4">
                  <c:v>0</c:v>
                </c:pt>
              </c:numCache>
            </c:numRef>
          </c:val>
          <c:extLst>
            <c:ext xmlns:c16="http://schemas.microsoft.com/office/drawing/2014/chart" uri="{C3380CC4-5D6E-409C-BE32-E72D297353CC}">
              <c16:uniqueId val="{00000000-B3DB-475E-A0C4-B29B8F64195B}"/>
            </c:ext>
          </c:extLst>
        </c:ser>
        <c:dLbls>
          <c:showLegendKey val="0"/>
          <c:showVal val="0"/>
          <c:showCatName val="0"/>
          <c:showSerName val="0"/>
          <c:showPercent val="0"/>
          <c:showBubbleSize val="0"/>
        </c:dLbls>
        <c:gapWidth val="219"/>
        <c:overlap val="-27"/>
        <c:axId val="17862015"/>
        <c:axId val="17881983"/>
      </c:barChart>
      <c:catAx>
        <c:axId val="17862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7881983"/>
        <c:crosses val="autoZero"/>
        <c:auto val="1"/>
        <c:lblAlgn val="ctr"/>
        <c:lblOffset val="100"/>
        <c:noMultiLvlLbl val="0"/>
      </c:catAx>
      <c:valAx>
        <c:axId val="1788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62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1. Responded to Demographic Data Questions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tx>
            <c:strRef>
              <c:f>'Demographic Data'!$B$4</c:f>
              <c:strCache>
                <c:ptCount val="1"/>
                <c:pt idx="0">
                  <c:v>Count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286-4F07-A05F-EAF77FC166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286-4F07-A05F-EAF77FC166CA}"/>
              </c:ext>
            </c:extLst>
          </c:dPt>
          <c:dLbls>
            <c:dLbl>
              <c:idx val="0"/>
              <c:layout>
                <c:manualLayout>
                  <c:x val="7.7293657536151653E-2"/>
                  <c:y val="6.257796130797850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3286-4F07-A05F-EAF77FC166CA}"/>
                </c:ext>
              </c:extLst>
            </c:dLbl>
            <c:dLbl>
              <c:idx val="1"/>
              <c:layout>
                <c:manualLayout>
                  <c:x val="-0.19642013315045212"/>
                  <c:y val="-0.40326609029779059"/>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286-4F07-A05F-EAF77FC166C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showLegendKey val="0"/>
            <c:showVal val="0"/>
            <c:showCatName val="1"/>
            <c:showSerName val="0"/>
            <c:showPercent val="1"/>
            <c:showBubbleSize val="0"/>
            <c:separator>
</c:separator>
            <c:showLeaderLines val="1"/>
            <c:leaderLines>
              <c:spPr>
                <a:ln w="9525" cap="flat" cmpd="sng" algn="ctr">
                  <a:solidFill>
                    <a:sysClr val="windowText" lastClr="000000"/>
                  </a:solidFill>
                  <a:round/>
                </a:ln>
                <a:effectLst/>
              </c:spPr>
            </c:leaderLines>
            <c:extLst>
              <c:ext xmlns:c15="http://schemas.microsoft.com/office/drawing/2012/chart" uri="{CE6537A1-D6FC-4f65-9D91-7224C49458BB}"/>
            </c:extLst>
          </c:dLbls>
          <c:cat>
            <c:strRef>
              <c:f>'Demographic Data'!$A$5:$A$6</c:f>
              <c:strCache>
                <c:ptCount val="2"/>
                <c:pt idx="0">
                  <c:v>Yes</c:v>
                </c:pt>
                <c:pt idx="1">
                  <c:v>No</c:v>
                </c:pt>
              </c:strCache>
            </c:strRef>
          </c:cat>
          <c:val>
            <c:numRef>
              <c:f>'Demographic Data'!$B$5:$B$6</c:f>
              <c:numCache>
                <c:formatCode>General</c:formatCode>
                <c:ptCount val="2"/>
                <c:pt idx="0">
                  <c:v>96</c:v>
                </c:pt>
                <c:pt idx="1">
                  <c:v>419</c:v>
                </c:pt>
              </c:numCache>
            </c:numRef>
          </c:val>
          <c:extLst>
            <c:ext xmlns:c16="http://schemas.microsoft.com/office/drawing/2014/chart" uri="{C3380CC4-5D6E-409C-BE32-E72D297353CC}">
              <c16:uniqueId val="{0000000A-3286-4F07-A05F-EAF77FC166CA}"/>
            </c:ext>
          </c:extLst>
        </c:ser>
        <c:ser>
          <c:idx val="1"/>
          <c:order val="1"/>
          <c:tx>
            <c:strRef>
              <c:f>'Demographic Data'!$C$4</c:f>
              <c:strCache>
                <c:ptCount val="1"/>
                <c:pt idx="0">
                  <c:v>Percent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5-AC4B-4A5A-9800-2726EF3668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AC4B-4A5A-9800-2726EF3668D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'Demographic Data'!$A$5:$A$6</c:f>
              <c:strCache>
                <c:ptCount val="2"/>
                <c:pt idx="0">
                  <c:v>Yes</c:v>
                </c:pt>
                <c:pt idx="1">
                  <c:v>No</c:v>
                </c:pt>
              </c:strCache>
            </c:strRef>
          </c:cat>
          <c:val>
            <c:numRef>
              <c:f>'Demographic Data'!$C$5:$C$6</c:f>
              <c:numCache>
                <c:formatCode>0%</c:formatCode>
                <c:ptCount val="2"/>
                <c:pt idx="0">
                  <c:v>0.18640776699029127</c:v>
                </c:pt>
                <c:pt idx="1">
                  <c:v>0.81359223300970873</c:v>
                </c:pt>
              </c:numCache>
            </c:numRef>
          </c:val>
          <c:extLst>
            <c:ext xmlns:c16="http://schemas.microsoft.com/office/drawing/2014/chart" uri="{C3380CC4-5D6E-409C-BE32-E72D297353CC}">
              <c16:uniqueId val="{00000017-3286-4F07-A05F-EAF77FC166CA}"/>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2. Age of Head of Household</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362-4998-9F47-856C9B77E77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362-4998-9F47-856C9B77E77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F-7362-4998-9F47-856C9B77E77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7362-4998-9F47-856C9B77E77B}"/>
              </c:ext>
            </c:extLst>
          </c:dPt>
          <c:dLbls>
            <c:dLbl>
              <c:idx val="0"/>
              <c:layout>
                <c:manualLayout>
                  <c:x val="9.4762242526639492E-2"/>
                  <c:y val="0.1819177412753584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62-4998-9F47-856C9B77E77B}"/>
                </c:ext>
              </c:extLst>
            </c:dLbl>
            <c:dLbl>
              <c:idx val="1"/>
              <c:layout>
                <c:manualLayout>
                  <c:x val="-1.8270130191759673E-2"/>
                  <c:y val="0.18778913561254715"/>
                </c:manualLayout>
              </c:layout>
              <c:tx>
                <c:rich>
                  <a:bodyPr/>
                  <a:lstStyle/>
                  <a:p>
                    <a:r>
                      <a:rPr lang="en-US" sz="1200" b="1" baseline="0"/>
                      <a:t>Ages </a:t>
                    </a:r>
                    <a:fld id="{8052E3D9-CB77-427B-BAE5-C56B75C74459}" type="CATEGORYNAME">
                      <a:rPr lang="en-US" sz="1200" b="1" baseline="0"/>
                      <a:pPr/>
                      <a:t>[CATEGORY NAME]</a:t>
                    </a:fld>
                    <a:r>
                      <a:rPr lang="en-US" sz="1200" b="1" baseline="0"/>
                      <a:t>
</a:t>
                    </a:r>
                    <a:fld id="{F289D528-BFAC-4A3A-98AD-2D82CDA73129}" type="PERCENTAGE">
                      <a:rPr lang="en-US" sz="1200" b="1" baseline="0"/>
                      <a:pPr/>
                      <a:t>[PERCENTAGE]</a:t>
                    </a:fld>
                    <a:endParaRPr lang="en-US" sz="1200" b="1"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362-4998-9F47-856C9B77E77B}"/>
                </c:ext>
              </c:extLst>
            </c:dLbl>
            <c:dLbl>
              <c:idx val="2"/>
              <c:layout>
                <c:manualLayout>
                  <c:x val="-1.1019715527760689E-2"/>
                  <c:y val="3.3547490368331205E-2"/>
                </c:manualLayout>
              </c:layout>
              <c:tx>
                <c:rich>
                  <a:bodyPr/>
                  <a:lstStyle/>
                  <a:p>
                    <a:r>
                      <a:rPr lang="en-US" sz="1200" b="1" baseline="0"/>
                      <a:t>Ages </a:t>
                    </a:r>
                    <a:fld id="{C45886C4-2E61-4C2F-AD75-375335834353}" type="CATEGORYNAME">
                      <a:rPr lang="en-US" sz="1200" b="1" baseline="0"/>
                      <a:pPr/>
                      <a:t>[CATEGORY NAME]</a:t>
                    </a:fld>
                    <a:r>
                      <a:rPr lang="en-US" sz="1200" b="1" baseline="0"/>
                      <a:t>
</a:t>
                    </a:r>
                    <a:fld id="{C8EF68E3-A453-4315-979C-6169CF100D45}" type="PERCENTAGE">
                      <a:rPr lang="en-US" sz="1200" b="1" baseline="0"/>
                      <a:pPr/>
                      <a:t>[PERCENTAGE]</a:t>
                    </a:fld>
                    <a:endParaRPr lang="en-US" sz="1200" b="1"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F-7362-4998-9F47-856C9B77E77B}"/>
                </c:ext>
              </c:extLst>
            </c:dLbl>
            <c:dLbl>
              <c:idx val="3"/>
              <c:layout>
                <c:manualLayout>
                  <c:x val="2.7600492222592029E-2"/>
                  <c:y val="7.646041917374757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E-7362-4998-9F47-856C9B77E77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'Demographic Data'!$A$11:$A$14</c:f>
              <c:strCache>
                <c:ptCount val="4"/>
                <c:pt idx="0">
                  <c:v>Under 45</c:v>
                </c:pt>
                <c:pt idx="1">
                  <c:v>45-64</c:v>
                </c:pt>
                <c:pt idx="2">
                  <c:v>65+</c:v>
                </c:pt>
                <c:pt idx="3">
                  <c:v>Decline to state</c:v>
                </c:pt>
              </c:strCache>
            </c:strRef>
          </c:cat>
          <c:val>
            <c:numRef>
              <c:f>'Demographic Data'!$B$11:$B$14</c:f>
              <c:numCache>
                <c:formatCode>General</c:formatCode>
                <c:ptCount val="4"/>
                <c:pt idx="0">
                  <c:v>20</c:v>
                </c:pt>
                <c:pt idx="1">
                  <c:v>47</c:v>
                </c:pt>
                <c:pt idx="2">
                  <c:v>26</c:v>
                </c:pt>
                <c:pt idx="3">
                  <c:v>1</c:v>
                </c:pt>
              </c:numCache>
            </c:numRef>
          </c:val>
          <c:extLst>
            <c:ext xmlns:c16="http://schemas.microsoft.com/office/drawing/2014/chart" uri="{C3380CC4-5D6E-409C-BE32-E72D297353CC}">
              <c16:uniqueId val="{00000004-7362-4998-9F47-856C9B77E77B}"/>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6-7362-4998-9F47-856C9B77E77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7362-4998-9F47-856C9B77E77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'Demographic Data'!$A$11:$A$14</c:f>
              <c:strCache>
                <c:ptCount val="4"/>
                <c:pt idx="0">
                  <c:v>Under 45</c:v>
                </c:pt>
                <c:pt idx="1">
                  <c:v>45-64</c:v>
                </c:pt>
                <c:pt idx="2">
                  <c:v>65+</c:v>
                </c:pt>
                <c:pt idx="3">
                  <c:v>Decline to state</c:v>
                </c:pt>
              </c:strCache>
            </c:strRef>
          </c:cat>
          <c:val>
            <c:numRef>
              <c:f>'Demographic Data'!$C$5:$C$6</c:f>
              <c:numCache>
                <c:formatCode>0%</c:formatCode>
                <c:ptCount val="2"/>
                <c:pt idx="0">
                  <c:v>0.18640776699029127</c:v>
                </c:pt>
                <c:pt idx="1">
                  <c:v>0.81359223300970873</c:v>
                </c:pt>
              </c:numCache>
            </c:numRef>
          </c:val>
          <c:extLst>
            <c:ext xmlns:c16="http://schemas.microsoft.com/office/drawing/2014/chart" uri="{C3380CC4-5D6E-409C-BE32-E72D297353CC}">
              <c16:uniqueId val="{00000009-7362-4998-9F47-856C9B77E77B}"/>
            </c:ext>
          </c:extLst>
        </c:ser>
        <c:dLbls>
          <c:showLegendKey val="0"/>
          <c:showVal val="0"/>
          <c:showCatName val="1"/>
          <c:showSerName val="0"/>
          <c:showPercent val="1"/>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3. Race/Ethnicity of Head of Household</a:t>
            </a:r>
          </a:p>
          <a:p>
            <a:pPr>
              <a:defRPr sz="1800">
                <a:solidFill>
                  <a:schemeClr val="tx1"/>
                </a:solidFill>
              </a:defRPr>
            </a:pPr>
            <a:r>
              <a:rPr lang="en-US" sz="1800" baseline="0">
                <a:solidFill>
                  <a:schemeClr val="tx1"/>
                </a:solidFill>
              </a:rPr>
              <a:t>(more than one answer accepted)</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'Regional Overview'!$C$72</c:f>
              <c:strCache>
                <c:ptCount val="1"/>
                <c:pt idx="0">
                  <c:v>Percent of Responses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'Demographic Data'!$A$18:$A$23</c:f>
              <c:strCache>
                <c:ptCount val="6"/>
                <c:pt idx="0">
                  <c:v>Asian</c:v>
                </c:pt>
                <c:pt idx="1">
                  <c:v>Black/African American</c:v>
                </c:pt>
                <c:pt idx="2">
                  <c:v>Latino/Hispanic</c:v>
                </c:pt>
                <c:pt idx="3">
                  <c:v>White</c:v>
                </c:pt>
                <c:pt idx="4">
                  <c:v>Another race</c:v>
                </c:pt>
                <c:pt idx="5">
                  <c:v>Decline to state</c:v>
                </c:pt>
              </c:strCache>
            </c:strRef>
          </c:cat>
          <c:val>
            <c:numRef>
              <c:f>'Demographic Data'!$C$18:$C$23</c:f>
              <c:numCache>
                <c:formatCode>0%</c:formatCode>
                <c:ptCount val="6"/>
                <c:pt idx="0">
                  <c:v>0.28125</c:v>
                </c:pt>
                <c:pt idx="1">
                  <c:v>2.0833333333333332E-2</c:v>
                </c:pt>
                <c:pt idx="2">
                  <c:v>0.125</c:v>
                </c:pt>
                <c:pt idx="3">
                  <c:v>0.5625</c:v>
                </c:pt>
                <c:pt idx="4">
                  <c:v>2.0833333333333332E-2</c:v>
                </c:pt>
                <c:pt idx="5">
                  <c:v>5.2083333333333336E-2</c:v>
                </c:pt>
              </c:numCache>
            </c:numRef>
          </c:val>
          <c:extLst xmlns:c15="http://schemas.microsoft.com/office/drawing/2012/chart">
            <c:ext xmlns:c16="http://schemas.microsoft.com/office/drawing/2014/chart" uri="{C3380CC4-5D6E-409C-BE32-E72D297353CC}">
              <c16:uniqueId val="{00000001-5497-49CA-9C3B-C6D47249CF90}"/>
            </c:ext>
          </c:extLst>
        </c:ser>
        <c:dLbls>
          <c:showLegendKey val="0"/>
          <c:showVal val="0"/>
          <c:showCatName val="0"/>
          <c:showSerName val="0"/>
          <c:showPercent val="0"/>
          <c:showBubbleSize val="0"/>
        </c:dLbls>
        <c:gapWidth val="219"/>
        <c:overlap val="-27"/>
        <c:axId val="324115839"/>
        <c:axId val="324123327"/>
        <c:extLst/>
      </c:barChart>
      <c:catAx>
        <c:axId val="324115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24123327"/>
        <c:crosses val="autoZero"/>
        <c:auto val="1"/>
        <c:lblAlgn val="ctr"/>
        <c:lblOffset val="100"/>
        <c:noMultiLvlLbl val="0"/>
      </c:catAx>
      <c:valAx>
        <c:axId val="3241233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241158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4. Primary Language Spoken at Home</a:t>
            </a:r>
          </a:p>
          <a:p>
            <a:pPr>
              <a:defRPr sz="1800">
                <a:solidFill>
                  <a:schemeClr val="tx1"/>
                </a:solidFill>
              </a:defRPr>
            </a:pPr>
            <a:r>
              <a:rPr lang="en-US" sz="1800" baseline="0">
                <a:solidFill>
                  <a:schemeClr val="tx1"/>
                </a:solidFill>
              </a:rPr>
              <a:t>(more than one answer accepted)</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'Regional Overview'!$C$72</c:f>
              <c:strCache>
                <c:ptCount val="1"/>
                <c:pt idx="0">
                  <c:v>Percent of Responses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'Demographic Data'!$A$28:$A$32</c:f>
              <c:strCache>
                <c:ptCount val="5"/>
                <c:pt idx="0">
                  <c:v>English</c:v>
                </c:pt>
                <c:pt idx="1">
                  <c:v>Spanish</c:v>
                </c:pt>
                <c:pt idx="2">
                  <c:v>Chinese</c:v>
                </c:pt>
                <c:pt idx="3">
                  <c:v>Another language</c:v>
                </c:pt>
                <c:pt idx="4">
                  <c:v>Decline to state</c:v>
                </c:pt>
              </c:strCache>
            </c:strRef>
          </c:cat>
          <c:val>
            <c:numRef>
              <c:f>'Demographic Data'!$C$28:$C$32</c:f>
              <c:numCache>
                <c:formatCode>0%</c:formatCode>
                <c:ptCount val="5"/>
                <c:pt idx="0">
                  <c:v>0.875</c:v>
                </c:pt>
                <c:pt idx="1">
                  <c:v>8.3333333333333329E-2</c:v>
                </c:pt>
                <c:pt idx="2">
                  <c:v>6.25E-2</c:v>
                </c:pt>
                <c:pt idx="3">
                  <c:v>6.25E-2</c:v>
                </c:pt>
                <c:pt idx="4">
                  <c:v>1.0416666666666666E-2</c:v>
                </c:pt>
              </c:numCache>
            </c:numRef>
          </c:val>
          <c:extLst xmlns:c15="http://schemas.microsoft.com/office/drawing/2012/chart">
            <c:ext xmlns:c16="http://schemas.microsoft.com/office/drawing/2014/chart" uri="{C3380CC4-5D6E-409C-BE32-E72D297353CC}">
              <c16:uniqueId val="{00000000-FCAF-491D-AC50-B0A7E692C098}"/>
            </c:ext>
          </c:extLst>
        </c:ser>
        <c:dLbls>
          <c:showLegendKey val="0"/>
          <c:showVal val="0"/>
          <c:showCatName val="0"/>
          <c:showSerName val="0"/>
          <c:showPercent val="0"/>
          <c:showBubbleSize val="0"/>
        </c:dLbls>
        <c:gapWidth val="219"/>
        <c:overlap val="-27"/>
        <c:axId val="324115839"/>
        <c:axId val="324123327"/>
        <c:extLst/>
      </c:barChart>
      <c:catAx>
        <c:axId val="324115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24123327"/>
        <c:crosses val="autoZero"/>
        <c:auto val="1"/>
        <c:lblAlgn val="ctr"/>
        <c:lblOffset val="100"/>
        <c:noMultiLvlLbl val="0"/>
      </c:catAx>
      <c:valAx>
        <c:axId val="3241233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241158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5. Number of People in Household</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B0-4561-A948-09F06B3E674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B0-4561-A948-09F06B3E674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A9D-4B8F-B8BE-467C657C719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A9D-4B8F-B8BE-467C657C719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A9D-4B8F-B8BE-467C657C719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A9D-4B8F-B8BE-467C657C7197}"/>
              </c:ext>
            </c:extLst>
          </c:dPt>
          <c:dLbls>
            <c:dLbl>
              <c:idx val="0"/>
              <c:layout>
                <c:manualLayout>
                  <c:x val="0.204161495455391"/>
                  <c:y val="4.682382859837742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F3B0-4561-A948-09F06B3E674B}"/>
                </c:ext>
              </c:extLst>
            </c:dLbl>
            <c:dLbl>
              <c:idx val="1"/>
              <c:layout>
                <c:manualLayout>
                  <c:x val="4.0636054423462006E-2"/>
                  <c:y val="5.341316793323503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3B0-4561-A948-09F06B3E674B}"/>
                </c:ext>
              </c:extLst>
            </c:dLbl>
            <c:dLbl>
              <c:idx val="2"/>
              <c:layout>
                <c:manualLayout>
                  <c:x val="6.0750717995616106E-2"/>
                  <c:y val="-2.254726498838896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DA9D-4B8F-B8BE-467C657C7197}"/>
                </c:ext>
              </c:extLst>
            </c:dLbl>
            <c:dLbl>
              <c:idx val="3"/>
              <c:layout>
                <c:manualLayout>
                  <c:x val="-5.6443491044283492E-2"/>
                  <c:y val="2.9172661226292886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A9D-4B8F-B8BE-467C657C7197}"/>
                </c:ext>
              </c:extLst>
            </c:dLbl>
            <c:dLbl>
              <c:idx val="4"/>
              <c:layout>
                <c:manualLayout>
                  <c:x val="-3.3919246298342004E-2"/>
                  <c:y val="-1.482034230179150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DA9D-4B8F-B8BE-467C657C7197}"/>
                </c:ext>
              </c:extLst>
            </c:dLbl>
            <c:dLbl>
              <c:idx val="5"/>
              <c:layout>
                <c:manualLayout>
                  <c:x val="-1.0130844713317007E-3"/>
                  <c:y val="3.311480303021258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DA9D-4B8F-B8BE-467C657C719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'Demographic Data'!$A$36:$A$41</c:f>
              <c:strCache>
                <c:ptCount val="6"/>
                <c:pt idx="0">
                  <c:v>1 person</c:v>
                </c:pt>
                <c:pt idx="1">
                  <c:v>2 person</c:v>
                </c:pt>
                <c:pt idx="2">
                  <c:v>3 person</c:v>
                </c:pt>
                <c:pt idx="3">
                  <c:v>4 person</c:v>
                </c:pt>
                <c:pt idx="4">
                  <c:v>5 or more person</c:v>
                </c:pt>
                <c:pt idx="5">
                  <c:v>Decline to state</c:v>
                </c:pt>
              </c:strCache>
            </c:strRef>
          </c:cat>
          <c:val>
            <c:numRef>
              <c:f>'Demographic Data'!$B$36:$B$41</c:f>
              <c:numCache>
                <c:formatCode>General</c:formatCode>
                <c:ptCount val="6"/>
                <c:pt idx="0">
                  <c:v>7</c:v>
                </c:pt>
                <c:pt idx="1">
                  <c:v>30</c:v>
                </c:pt>
                <c:pt idx="2">
                  <c:v>17</c:v>
                </c:pt>
                <c:pt idx="3">
                  <c:v>24</c:v>
                </c:pt>
                <c:pt idx="4">
                  <c:v>15</c:v>
                </c:pt>
                <c:pt idx="5">
                  <c:v>2</c:v>
                </c:pt>
              </c:numCache>
            </c:numRef>
          </c:val>
          <c:extLst>
            <c:ext xmlns:c16="http://schemas.microsoft.com/office/drawing/2014/chart" uri="{C3380CC4-5D6E-409C-BE32-E72D297353CC}">
              <c16:uniqueId val="{00000004-F3B0-4561-A948-09F06B3E674B}"/>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6-F3B0-4561-A948-09F06B3E674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F3B0-4561-A948-09F06B3E674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'Demographic Data'!$A$36:$A$41</c:f>
              <c:strCache>
                <c:ptCount val="6"/>
                <c:pt idx="0">
                  <c:v>1 person</c:v>
                </c:pt>
                <c:pt idx="1">
                  <c:v>2 person</c:v>
                </c:pt>
                <c:pt idx="2">
                  <c:v>3 person</c:v>
                </c:pt>
                <c:pt idx="3">
                  <c:v>4 person</c:v>
                </c:pt>
                <c:pt idx="4">
                  <c:v>5 or more person</c:v>
                </c:pt>
                <c:pt idx="5">
                  <c:v>Decline to state</c:v>
                </c:pt>
              </c:strCache>
            </c:strRef>
          </c:cat>
          <c:val>
            <c:numRef>
              <c:f>'Demographic Data'!$C$5:$C$6</c:f>
              <c:numCache>
                <c:formatCode>0%</c:formatCode>
                <c:ptCount val="2"/>
                <c:pt idx="0">
                  <c:v>0.18640776699029127</c:v>
                </c:pt>
                <c:pt idx="1">
                  <c:v>0.81359223300970873</c:v>
                </c:pt>
              </c:numCache>
            </c:numRef>
          </c:val>
          <c:extLst>
            <c:ext xmlns:c16="http://schemas.microsoft.com/office/drawing/2014/chart" uri="{C3380CC4-5D6E-409C-BE32-E72D297353CC}">
              <c16:uniqueId val="{00000009-F3B0-4561-A948-09F06B3E674B}"/>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6. Household Income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51B-48DA-ABBE-A1B04D8F2FE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51B-48DA-ABBE-A1B04D8F2FE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51B-48DA-ABBE-A1B04D8F2FE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51B-48DA-ABBE-A1B04D8F2FE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51B-48DA-ABBE-A1B04D8F2FE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51B-48DA-ABBE-A1B04D8F2FEB}"/>
              </c:ext>
            </c:extLst>
          </c:dPt>
          <c:dLbls>
            <c:dLbl>
              <c:idx val="0"/>
              <c:layout>
                <c:manualLayout>
                  <c:x val="-5.6839765575937501E-3"/>
                  <c:y val="1.9379181082787274E-4"/>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51B-48DA-ABBE-A1B04D8F2FEB}"/>
                </c:ext>
              </c:extLst>
            </c:dLbl>
            <c:dLbl>
              <c:idx val="1"/>
              <c:layout>
                <c:manualLayout>
                  <c:x val="3.7904727895936442E-2"/>
                  <c:y val="-9.057124540600852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51B-48DA-ABBE-A1B04D8F2FEB}"/>
                </c:ext>
              </c:extLst>
            </c:dLbl>
            <c:dLbl>
              <c:idx val="2"/>
              <c:layout>
                <c:manualLayout>
                  <c:x val="6.4966299894162237E-3"/>
                  <c:y val="-6.7433677688983722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051B-48DA-ABBE-A1B04D8F2FEB}"/>
                </c:ext>
              </c:extLst>
            </c:dLbl>
            <c:dLbl>
              <c:idx val="3"/>
              <c:layout>
                <c:manualLayout>
                  <c:x val="3.1453180512676378E-2"/>
                  <c:y val="4.404789985465613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051B-48DA-ABBE-A1B04D8F2FEB}"/>
                </c:ext>
              </c:extLst>
            </c:dLbl>
            <c:dLbl>
              <c:idx val="4"/>
              <c:layout>
                <c:manualLayout>
                  <c:x val="2.7939138893402486E-2"/>
                  <c:y val="-1.119431544021571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051B-48DA-ABBE-A1B04D8F2FEB}"/>
                </c:ext>
              </c:extLst>
            </c:dLbl>
            <c:dLbl>
              <c:idx val="5"/>
              <c:layout>
                <c:manualLayout>
                  <c:x val="-3.7628904344311383E-2"/>
                  <c:y val="-5.6463690950999054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051B-48DA-ABBE-A1B04D8F2FE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'Demographic Data'!$A$45:$A$50</c:f>
              <c:strCache>
                <c:ptCount val="6"/>
                <c:pt idx="0">
                  <c:v>Under $75,000</c:v>
                </c:pt>
                <c:pt idx="1">
                  <c:v>$75,000 - $99,999</c:v>
                </c:pt>
                <c:pt idx="2">
                  <c:v>$100,000 - $149,999</c:v>
                </c:pt>
                <c:pt idx="3">
                  <c:v>$150,000 - $199,999</c:v>
                </c:pt>
                <c:pt idx="4">
                  <c:v>$200,000 or more</c:v>
                </c:pt>
                <c:pt idx="5">
                  <c:v>Decline to state</c:v>
                </c:pt>
              </c:strCache>
            </c:strRef>
          </c:cat>
          <c:val>
            <c:numRef>
              <c:f>'Demographic Data'!$B$45:$B$50</c:f>
              <c:numCache>
                <c:formatCode>General</c:formatCode>
                <c:ptCount val="6"/>
                <c:pt idx="0">
                  <c:v>10</c:v>
                </c:pt>
                <c:pt idx="1">
                  <c:v>7</c:v>
                </c:pt>
                <c:pt idx="2">
                  <c:v>12</c:v>
                </c:pt>
                <c:pt idx="3">
                  <c:v>11</c:v>
                </c:pt>
                <c:pt idx="4">
                  <c:v>33</c:v>
                </c:pt>
                <c:pt idx="5">
                  <c:v>21</c:v>
                </c:pt>
              </c:numCache>
            </c:numRef>
          </c:val>
          <c:extLst>
            <c:ext xmlns:c16="http://schemas.microsoft.com/office/drawing/2014/chart" uri="{C3380CC4-5D6E-409C-BE32-E72D297353CC}">
              <c16:uniqueId val="{0000000C-051B-48DA-ABBE-A1B04D8F2FEB}"/>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E-051B-48DA-ABBE-A1B04D8F2FE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0-051B-48DA-ABBE-A1B04D8F2FE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'Demographic Data'!$A$45:$A$50</c:f>
              <c:strCache>
                <c:ptCount val="6"/>
                <c:pt idx="0">
                  <c:v>Under $75,000</c:v>
                </c:pt>
                <c:pt idx="1">
                  <c:v>$75,000 - $99,999</c:v>
                </c:pt>
                <c:pt idx="2">
                  <c:v>$100,000 - $149,999</c:v>
                </c:pt>
                <c:pt idx="3">
                  <c:v>$150,000 - $199,999</c:v>
                </c:pt>
                <c:pt idx="4">
                  <c:v>$200,000 or more</c:v>
                </c:pt>
                <c:pt idx="5">
                  <c:v>Decline to state</c:v>
                </c:pt>
              </c:strCache>
            </c:strRef>
          </c:cat>
          <c:val>
            <c:numRef>
              <c:f>'Demographic Data'!$C$5:$C$6</c:f>
              <c:numCache>
                <c:formatCode>0%</c:formatCode>
                <c:ptCount val="2"/>
                <c:pt idx="0">
                  <c:v>0.18640776699029127</c:v>
                </c:pt>
                <c:pt idx="1">
                  <c:v>0.81359223300970873</c:v>
                </c:pt>
              </c:numCache>
            </c:numRef>
          </c:val>
          <c:extLst>
            <c:ext xmlns:c16="http://schemas.microsoft.com/office/drawing/2014/chart" uri="{C3380CC4-5D6E-409C-BE32-E72D297353CC}">
              <c16:uniqueId val="{00000011-051B-48DA-ABBE-A1B04D8F2FEB}"/>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6b. Percent of ADUs by Affordability Level</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'Regional Overview'!$C$49</c:f>
              <c:strCache>
                <c:ptCount val="1"/>
                <c:pt idx="0">
                  <c:v>Percent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'Regional Overview'!$A$50:$A$54</c:f>
              <c:strCache>
                <c:ptCount val="5"/>
                <c:pt idx="0">
                  <c:v>Zero Rent / Extremely Low Income Units</c:v>
                </c:pt>
                <c:pt idx="1">
                  <c:v>Very Low Income Units</c:v>
                </c:pt>
                <c:pt idx="2">
                  <c:v>Low Income Units</c:v>
                </c:pt>
                <c:pt idx="3">
                  <c:v>Moderate Income Units</c:v>
                </c:pt>
                <c:pt idx="4">
                  <c:v>Above Moderate Units</c:v>
                </c:pt>
              </c:strCache>
            </c:strRef>
          </c:cat>
          <c:val>
            <c:numRef>
              <c:f>'Regional Overview'!$C$50:$C$54</c:f>
              <c:numCache>
                <c:formatCode>0%</c:formatCode>
                <c:ptCount val="5"/>
                <c:pt idx="0">
                  <c:v>0.51792078037262645</c:v>
                </c:pt>
                <c:pt idx="1">
                  <c:v>0.13966369550983157</c:v>
                </c:pt>
                <c:pt idx="2">
                  <c:v>0.24148574376475726</c:v>
                </c:pt>
                <c:pt idx="3">
                  <c:v>9.8882120676997573E-2</c:v>
                </c:pt>
                <c:pt idx="4">
                  <c:v>2.0476596757872186E-3</c:v>
                </c:pt>
              </c:numCache>
            </c:numRef>
          </c:val>
          <c:extLst>
            <c:ext xmlns:c16="http://schemas.microsoft.com/office/drawing/2014/chart" uri="{C3380CC4-5D6E-409C-BE32-E72D297353CC}">
              <c16:uniqueId val="{00000000-C7B1-4C6D-BE04-AE69818563B9}"/>
            </c:ext>
          </c:extLst>
        </c:ser>
        <c:dLbls>
          <c:showLegendKey val="0"/>
          <c:showVal val="0"/>
          <c:showCatName val="0"/>
          <c:showSerName val="0"/>
          <c:showPercent val="0"/>
          <c:showBubbleSize val="0"/>
        </c:dLbls>
        <c:gapWidth val="219"/>
        <c:overlap val="-27"/>
        <c:axId val="17862015"/>
        <c:axId val="17881983"/>
      </c:barChart>
      <c:catAx>
        <c:axId val="17862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81983"/>
        <c:crosses val="autoZero"/>
        <c:auto val="1"/>
        <c:lblAlgn val="ctr"/>
        <c:lblOffset val="100"/>
        <c:noMultiLvlLbl val="0"/>
      </c:catAx>
      <c:valAx>
        <c:axId val="1788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62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3. ADU Size by Bedroom Count</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tx>
            <c:strRef>
              <c:f>'Regional Overview'!$B$33</c:f>
              <c:strCache>
                <c:ptCount val="1"/>
                <c:pt idx="0">
                  <c:v>Count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3A5-45E0-AB67-1831038E00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3A5-45E0-AB67-1831038E000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3A5-45E0-AB67-1831038E000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3A5-45E0-AB67-1831038E0001}"/>
              </c:ext>
            </c:extLst>
          </c:dPt>
          <c:dLbls>
            <c:dLbl>
              <c:idx val="0"/>
              <c:layout>
                <c:manualLayout>
                  <c:x val="7.8562232495595047E-2"/>
                  <c:y val="2.883344367080928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3A5-45E0-AB67-1831038E0001}"/>
                </c:ext>
              </c:extLst>
            </c:dLbl>
            <c:dLbl>
              <c:idx val="1"/>
              <c:layout>
                <c:manualLayout>
                  <c:x val="7.199457112969633E-2"/>
                  <c:y val="-0.1616245129694514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3A5-45E0-AB67-1831038E0001}"/>
                </c:ext>
              </c:extLst>
            </c:dLbl>
            <c:dLbl>
              <c:idx val="2"/>
              <c:layout>
                <c:manualLayout>
                  <c:x val="-4.5130244168166633E-2"/>
                  <c:y val="0.1366307337717745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3A5-45E0-AB67-1831038E0001}"/>
                </c:ext>
              </c:extLst>
            </c:dLbl>
            <c:dLbl>
              <c:idx val="3"/>
              <c:layout>
                <c:manualLayout>
                  <c:x val="-4.7410770046188967E-2"/>
                  <c:y val="1.934535045579702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3A5-45E0-AB67-1831038E0001}"/>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'Regional Overview'!$A$34:$A$37</c:f>
              <c:strCache>
                <c:ptCount val="4"/>
                <c:pt idx="0">
                  <c:v>Studio</c:v>
                </c:pt>
                <c:pt idx="1">
                  <c:v>1 Bedroom</c:v>
                </c:pt>
                <c:pt idx="2">
                  <c:v>2 Bedroom</c:v>
                </c:pt>
                <c:pt idx="3">
                  <c:v>3+ Bedroom</c:v>
                </c:pt>
              </c:strCache>
            </c:strRef>
          </c:cat>
          <c:val>
            <c:numRef>
              <c:f>'Regional Overview'!$B$34:$B$37</c:f>
              <c:numCache>
                <c:formatCode>General</c:formatCode>
                <c:ptCount val="4"/>
                <c:pt idx="0">
                  <c:v>125</c:v>
                </c:pt>
                <c:pt idx="1">
                  <c:v>263</c:v>
                </c:pt>
                <c:pt idx="2">
                  <c:v>204</c:v>
                </c:pt>
                <c:pt idx="3">
                  <c:v>13</c:v>
                </c:pt>
              </c:numCache>
            </c:numRef>
          </c:val>
          <c:extLst>
            <c:ext xmlns:c16="http://schemas.microsoft.com/office/drawing/2014/chart" uri="{C3380CC4-5D6E-409C-BE32-E72D297353CC}">
              <c16:uniqueId val="{00000000-532C-44CA-B3FD-79BDA8D54260}"/>
            </c:ext>
          </c:extLst>
        </c:ser>
        <c:ser>
          <c:idx val="1"/>
          <c:order val="1"/>
          <c:tx>
            <c:strRef>
              <c:f>'Regional Overview'!$C$33</c:f>
              <c:strCache>
                <c:ptCount val="1"/>
                <c:pt idx="0">
                  <c:v>Percent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A3A5-45E0-AB67-1831038E00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A3A5-45E0-AB67-1831038E000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D-A3A5-45E0-AB67-1831038E000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F-A3A5-45E0-AB67-1831038E000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'Regional Overview'!$A$34:$A$37</c:f>
              <c:strCache>
                <c:ptCount val="4"/>
                <c:pt idx="0">
                  <c:v>Studio</c:v>
                </c:pt>
                <c:pt idx="1">
                  <c:v>1 Bedroom</c:v>
                </c:pt>
                <c:pt idx="2">
                  <c:v>2 Bedroom</c:v>
                </c:pt>
                <c:pt idx="3">
                  <c:v>3+ Bedroom</c:v>
                </c:pt>
              </c:strCache>
            </c:strRef>
          </c:cat>
          <c:val>
            <c:numRef>
              <c:f>'Regional Overview'!$C$34:$C$37</c:f>
              <c:numCache>
                <c:formatCode>0%</c:formatCode>
                <c:ptCount val="4"/>
                <c:pt idx="0">
                  <c:v>0.20661157024793389</c:v>
                </c:pt>
                <c:pt idx="1">
                  <c:v>0.43471074380165287</c:v>
                </c:pt>
                <c:pt idx="2">
                  <c:v>0.33719008264462808</c:v>
                </c:pt>
                <c:pt idx="3">
                  <c:v>2.1487603305785124E-2</c:v>
                </c:pt>
              </c:numCache>
            </c:numRef>
          </c:val>
          <c:extLst>
            <c:ext xmlns:c16="http://schemas.microsoft.com/office/drawing/2014/chart" uri="{C3380CC4-5D6E-409C-BE32-E72D297353CC}">
              <c16:uniqueId val="{00000001-532C-44CA-B3FD-79BDA8D54260}"/>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8. Percent of ADUs by Rent Level</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'Regional Overview'!$D$45</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'Regional Overview'!$A$58:$A$69</c:f>
              <c:strCache>
                <c:ptCount val="12"/>
                <c:pt idx="0">
                  <c:v>$1 - $1,000</c:v>
                </c:pt>
                <c:pt idx="1">
                  <c:v>$1,001 - $1,500</c:v>
                </c:pt>
                <c:pt idx="2">
                  <c:v>$1,501 - $2,000</c:v>
                </c:pt>
                <c:pt idx="3">
                  <c:v>$2,001 - $2,500</c:v>
                </c:pt>
                <c:pt idx="4">
                  <c:v>$2,501 - $3,000</c:v>
                </c:pt>
                <c:pt idx="5">
                  <c:v>$3,001 - $3,500</c:v>
                </c:pt>
                <c:pt idx="6">
                  <c:v>$3,501 - $4,000</c:v>
                </c:pt>
                <c:pt idx="7">
                  <c:v>$4,001 - $4,500</c:v>
                </c:pt>
                <c:pt idx="8">
                  <c:v>More than $4,500</c:v>
                </c:pt>
                <c:pt idx="9">
                  <c:v>Not planning to use for housing</c:v>
                </c:pt>
                <c:pt idx="10">
                  <c:v>Not planning to charge rent</c:v>
                </c:pt>
                <c:pt idx="11">
                  <c:v>Decline to State</c:v>
                </c:pt>
              </c:strCache>
            </c:strRef>
          </c:cat>
          <c:val>
            <c:numRef>
              <c:f>'Regional Overview'!$C$58:$C$69</c:f>
              <c:numCache>
                <c:formatCode>0%</c:formatCode>
                <c:ptCount val="12"/>
                <c:pt idx="0">
                  <c:v>5.6198347107438019E-2</c:v>
                </c:pt>
                <c:pt idx="1">
                  <c:v>8.2644628099173556E-2</c:v>
                </c:pt>
                <c:pt idx="2">
                  <c:v>8.7603305785123972E-2</c:v>
                </c:pt>
                <c:pt idx="3">
                  <c:v>8.4297520661157019E-2</c:v>
                </c:pt>
                <c:pt idx="4">
                  <c:v>8.5950413223140495E-2</c:v>
                </c:pt>
                <c:pt idx="5">
                  <c:v>3.1404958677685953E-2</c:v>
                </c:pt>
                <c:pt idx="6">
                  <c:v>2.1487603305785124E-2</c:v>
                </c:pt>
                <c:pt idx="7">
                  <c:v>1.1570247933884297E-2</c:v>
                </c:pt>
                <c:pt idx="8">
                  <c:v>1.652892561983471E-3</c:v>
                </c:pt>
                <c:pt idx="9">
                  <c:v>7.1074380165289261E-2</c:v>
                </c:pt>
                <c:pt idx="10">
                  <c:v>0.37190082644628097</c:v>
                </c:pt>
                <c:pt idx="11">
                  <c:v>9.4214876033057851E-2</c:v>
                </c:pt>
              </c:numCache>
            </c:numRef>
          </c:val>
          <c:extLst>
            <c:ext xmlns:c16="http://schemas.microsoft.com/office/drawing/2014/chart" uri="{C3380CC4-5D6E-409C-BE32-E72D297353CC}">
              <c16:uniqueId val="{00000000-794B-405D-8472-FCDB4F32E55A}"/>
            </c:ext>
          </c:extLst>
        </c:ser>
        <c:dLbls>
          <c:showLegendKey val="0"/>
          <c:showVal val="0"/>
          <c:showCatName val="0"/>
          <c:showSerName val="0"/>
          <c:showPercent val="0"/>
          <c:showBubbleSize val="0"/>
        </c:dLbls>
        <c:gapWidth val="219"/>
        <c:overlap val="-27"/>
        <c:axId val="17862015"/>
        <c:axId val="17881983"/>
      </c:barChart>
      <c:catAx>
        <c:axId val="17862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81983"/>
        <c:crosses val="autoZero"/>
        <c:auto val="1"/>
        <c:lblAlgn val="ctr"/>
        <c:lblOffset val="100"/>
        <c:noMultiLvlLbl val="0"/>
      </c:catAx>
      <c:valAx>
        <c:axId val="1788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7862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9. Tenant Responsibility for ADU Utilities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1"/>
          <c:order val="1"/>
          <c:tx>
            <c:strRef>
              <c:f>'Regional Overview'!$C$72</c:f>
              <c:strCache>
                <c:ptCount val="1"/>
                <c:pt idx="0">
                  <c:v>Percent of Responses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'Regional Overview'!$A$73:$A$78</c:f>
              <c:strCache>
                <c:ptCount val="6"/>
                <c:pt idx="0">
                  <c:v>Not Sure</c:v>
                </c:pt>
                <c:pt idx="1">
                  <c:v>No Utilities</c:v>
                </c:pt>
                <c:pt idx="2">
                  <c:v>Electricity</c:v>
                </c:pt>
                <c:pt idx="3">
                  <c:v>Gas</c:v>
                </c:pt>
                <c:pt idx="4">
                  <c:v>Trash</c:v>
                </c:pt>
                <c:pt idx="5">
                  <c:v>Water/Sewer</c:v>
                </c:pt>
              </c:strCache>
            </c:strRef>
          </c:cat>
          <c:val>
            <c:numRef>
              <c:f>'Regional Overview'!$C$73:$C$78</c:f>
              <c:numCache>
                <c:formatCode>0%</c:formatCode>
                <c:ptCount val="6"/>
                <c:pt idx="0">
                  <c:v>0.46280991735537191</c:v>
                </c:pt>
                <c:pt idx="1">
                  <c:v>0.21818181818181817</c:v>
                </c:pt>
                <c:pt idx="2">
                  <c:v>0.31900826446280994</c:v>
                </c:pt>
                <c:pt idx="3">
                  <c:v>0.18016528925619835</c:v>
                </c:pt>
                <c:pt idx="4">
                  <c:v>0.15537190082644628</c:v>
                </c:pt>
                <c:pt idx="5">
                  <c:v>0.21652892561983472</c:v>
                </c:pt>
              </c:numCache>
            </c:numRef>
          </c:val>
          <c:extLst>
            <c:ext xmlns:c16="http://schemas.microsoft.com/office/drawing/2014/chart" uri="{C3380CC4-5D6E-409C-BE32-E72D297353CC}">
              <c16:uniqueId val="{00000000-E1F1-4C94-92A3-5E201F4A7C31}"/>
            </c:ext>
          </c:extLst>
        </c:ser>
        <c:dLbls>
          <c:showLegendKey val="0"/>
          <c:showVal val="0"/>
          <c:showCatName val="0"/>
          <c:showSerName val="0"/>
          <c:showPercent val="0"/>
          <c:showBubbleSize val="0"/>
        </c:dLbls>
        <c:gapWidth val="219"/>
        <c:overlap val="-27"/>
        <c:axId val="324115839"/>
        <c:axId val="324123327"/>
        <c:extLst>
          <c:ext xmlns:c15="http://schemas.microsoft.com/office/drawing/2012/chart" uri="{02D57815-91ED-43cb-92C2-25804820EDAC}">
            <c15:filteredBarSeries>
              <c15:ser>
                <c:idx val="0"/>
                <c:order val="0"/>
                <c:tx>
                  <c:strRef>
                    <c:extLst>
                      <c:ext uri="{02D57815-91ED-43cb-92C2-25804820EDAC}">
                        <c15:formulaRef>
                          <c15:sqref>'Regional Overview'!$B$72</c15:sqref>
                        </c15:formulaRef>
                      </c:ext>
                    </c:extLst>
                    <c:strCache>
                      <c:ptCount val="1"/>
                      <c:pt idx="0">
                        <c:v>Count of Responses</c:v>
                      </c:pt>
                    </c:strCache>
                  </c:strRef>
                </c:tx>
                <c:spPr>
                  <a:solidFill>
                    <a:schemeClr val="accent1"/>
                  </a:solidFill>
                  <a:ln>
                    <a:noFill/>
                  </a:ln>
                  <a:effectLst/>
                </c:spPr>
                <c:invertIfNegative val="0"/>
                <c:cat>
                  <c:strRef>
                    <c:extLst>
                      <c:ext uri="{02D57815-91ED-43cb-92C2-25804820EDAC}">
                        <c15:formulaRef>
                          <c15:sqref>'Regional Overview'!$A$73:$A$78</c15:sqref>
                        </c15:formulaRef>
                      </c:ext>
                    </c:extLst>
                    <c:strCache>
                      <c:ptCount val="6"/>
                      <c:pt idx="0">
                        <c:v>Not Sure</c:v>
                      </c:pt>
                      <c:pt idx="1">
                        <c:v>No Utilities</c:v>
                      </c:pt>
                      <c:pt idx="2">
                        <c:v>Electricity</c:v>
                      </c:pt>
                      <c:pt idx="3">
                        <c:v>Gas</c:v>
                      </c:pt>
                      <c:pt idx="4">
                        <c:v>Trash</c:v>
                      </c:pt>
                      <c:pt idx="5">
                        <c:v>Water/Sewer</c:v>
                      </c:pt>
                    </c:strCache>
                  </c:strRef>
                </c:cat>
                <c:val>
                  <c:numRef>
                    <c:extLst>
                      <c:ext uri="{02D57815-91ED-43cb-92C2-25804820EDAC}">
                        <c15:formulaRef>
                          <c15:sqref>'Regional Overview'!$B$73:$B$78</c15:sqref>
                        </c15:formulaRef>
                      </c:ext>
                    </c:extLst>
                    <c:numCache>
                      <c:formatCode>General</c:formatCode>
                      <c:ptCount val="6"/>
                      <c:pt idx="0">
                        <c:v>280</c:v>
                      </c:pt>
                      <c:pt idx="1">
                        <c:v>132</c:v>
                      </c:pt>
                      <c:pt idx="2">
                        <c:v>193</c:v>
                      </c:pt>
                      <c:pt idx="3">
                        <c:v>109</c:v>
                      </c:pt>
                      <c:pt idx="4">
                        <c:v>94</c:v>
                      </c:pt>
                      <c:pt idx="5">
                        <c:v>131</c:v>
                      </c:pt>
                    </c:numCache>
                  </c:numRef>
                </c:val>
                <c:extLst>
                  <c:ext xmlns:c16="http://schemas.microsoft.com/office/drawing/2014/chart" uri="{C3380CC4-5D6E-409C-BE32-E72D297353CC}">
                    <c16:uniqueId val="{00000001-E1F1-4C94-92A3-5E201F4A7C31}"/>
                  </c:ext>
                </c:extLst>
              </c15:ser>
            </c15:filteredBarSeries>
          </c:ext>
        </c:extLst>
      </c:barChart>
      <c:catAx>
        <c:axId val="324115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24123327"/>
        <c:crosses val="autoZero"/>
        <c:auto val="1"/>
        <c:lblAlgn val="ctr"/>
        <c:lblOffset val="100"/>
        <c:noMultiLvlLbl val="0"/>
      </c:catAx>
      <c:valAx>
        <c:axId val="3241233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241158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r>
              <a:rPr lang="en-US" sz="1800" baseline="0">
                <a:solidFill>
                  <a:sysClr val="windowText" lastClr="000000"/>
                </a:solidFill>
              </a:rPr>
              <a:t>9. Survey Requirement in Jurisdiction</a:t>
            </a:r>
          </a:p>
        </c:rich>
      </c:tx>
      <c:overlay val="0"/>
      <c:spPr>
        <a:noFill/>
        <a:ln>
          <a:noFill/>
        </a:ln>
        <a:effectLst/>
      </c:spPr>
      <c:txPr>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'Regional Overview'!$B$81</c:f>
              <c:strCache>
                <c:ptCount val="1"/>
                <c:pt idx="0">
                  <c:v>Count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602-46BF-8210-7D96372E4F1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602-46BF-8210-7D96372E4F1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602-46BF-8210-7D96372E4F13}"/>
              </c:ext>
            </c:extLst>
          </c:dPt>
          <c:dLbls>
            <c:dLbl>
              <c:idx val="0"/>
              <c:layout>
                <c:manualLayout>
                  <c:x val="5.1629469797762118E-2"/>
                  <c:y val="-0.1504465162883391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602-46BF-8210-7D96372E4F13}"/>
                </c:ext>
              </c:extLst>
            </c:dLbl>
            <c:dLbl>
              <c:idx val="1"/>
              <c:layout>
                <c:manualLayout>
                  <c:x val="-2.464055193914199E-2"/>
                  <c:y val="4.696969439215689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602-46BF-8210-7D96372E4F13}"/>
                </c:ext>
              </c:extLst>
            </c:dLbl>
            <c:dLbl>
              <c:idx val="2"/>
              <c:layout>
                <c:manualLayout>
                  <c:x val="-1.7907121396375528E-2"/>
                  <c:y val="-7.0941184376055264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602-46BF-8210-7D96372E4F1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'Regional Overview'!$A$82:$A$84</c:f>
              <c:strCache>
                <c:ptCount val="3"/>
                <c:pt idx="0">
                  <c:v>Survey is Required</c:v>
                </c:pt>
                <c:pt idx="1">
                  <c:v>Survey is not Required</c:v>
                </c:pt>
                <c:pt idx="2">
                  <c:v>Not Sure</c:v>
                </c:pt>
              </c:strCache>
            </c:strRef>
          </c:cat>
          <c:val>
            <c:numRef>
              <c:f>'Regional Overview'!$B$82:$B$84</c:f>
              <c:numCache>
                <c:formatCode>General</c:formatCode>
                <c:ptCount val="3"/>
                <c:pt idx="0">
                  <c:v>359</c:v>
                </c:pt>
                <c:pt idx="1">
                  <c:v>62</c:v>
                </c:pt>
                <c:pt idx="2">
                  <c:v>94</c:v>
                </c:pt>
              </c:numCache>
            </c:numRef>
          </c:val>
          <c:extLst>
            <c:ext xmlns:c16="http://schemas.microsoft.com/office/drawing/2014/chart" uri="{C3380CC4-5D6E-409C-BE32-E72D297353CC}">
              <c16:uniqueId val="{0000000A-5602-46BF-8210-7D96372E4F13}"/>
            </c:ext>
          </c:extLst>
        </c:ser>
        <c:ser>
          <c:idx val="1"/>
          <c:order val="1"/>
          <c:tx>
            <c:strRef>
              <c:f>'Regional Overview'!$C$7</c:f>
              <c:strCache>
                <c:ptCount val="1"/>
                <c:pt idx="0">
                  <c:v>Percent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C-5602-46BF-8210-7D96372E4F1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E-5602-46BF-8210-7D96372E4F1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0-5602-46BF-8210-7D96372E4F1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2-5602-46BF-8210-7D96372E4F1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4-5602-46BF-8210-7D96372E4F1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1-9252-43DF-8434-EC4A43BD900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3-9252-43DF-8434-EC4A43BD900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5-9252-43DF-8434-EC4A43BD900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7-7329-4248-9CA6-91E05B0DBE4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9-7329-4248-9CA6-91E05B0DBE4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B-7329-4248-9CA6-91E05B0DBE4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D-7329-4248-9CA6-91E05B0DBE4F}"/>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F-7329-4248-9CA6-91E05B0DBE4F}"/>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21-7329-4248-9CA6-91E05B0DBE4F}"/>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23-7329-4248-9CA6-91E05B0DBE4F}"/>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25-7329-4248-9CA6-91E05B0DBE4F}"/>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7-7329-4248-9CA6-91E05B0DBE4F}"/>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9-7329-4248-9CA6-91E05B0DBE4F}"/>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B-7329-4248-9CA6-91E05B0DBE4F}"/>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D-7329-4248-9CA6-91E05B0DBE4F}"/>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F-7329-4248-9CA6-91E05B0DBE4F}"/>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31-7329-4248-9CA6-91E05B0DBE4F}"/>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33-7329-4248-9CA6-91E05B0DBE4F}"/>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35-7329-4248-9CA6-91E05B0DBE4F}"/>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37-7329-4248-9CA6-91E05B0DBE4F}"/>
              </c:ext>
            </c:extLst>
          </c:dPt>
          <c:dPt>
            <c:idx val="25"/>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39-7329-4248-9CA6-91E05B0DBE4F}"/>
              </c:ext>
            </c:extLst>
          </c:dPt>
          <c:dPt>
            <c:idx val="26"/>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3B-7329-4248-9CA6-91E05B0DBE4F}"/>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D-7329-4248-9CA6-91E05B0DBE4F}"/>
              </c:ext>
            </c:extLst>
          </c:dPt>
          <c:dPt>
            <c:idx val="28"/>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3F-7329-4248-9CA6-91E05B0DBE4F}"/>
              </c:ext>
            </c:extLst>
          </c:dPt>
          <c:dPt>
            <c:idx val="2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41-7329-4248-9CA6-91E05B0DBE4F}"/>
              </c:ext>
            </c:extLst>
          </c:dPt>
          <c:dPt>
            <c:idx val="3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43-7329-4248-9CA6-91E05B0DBE4F}"/>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45-7329-4248-9CA6-91E05B0DBE4F}"/>
              </c:ext>
            </c:extLst>
          </c:dPt>
          <c:dPt>
            <c:idx val="32"/>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47-7329-4248-9CA6-91E05B0DBE4F}"/>
              </c:ext>
            </c:extLst>
          </c:dPt>
          <c:dPt>
            <c:idx val="3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49-7329-4248-9CA6-91E05B0DBE4F}"/>
              </c:ext>
            </c:extLst>
          </c:dPt>
          <c:dPt>
            <c:idx val="34"/>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4B-7329-4248-9CA6-91E05B0DBE4F}"/>
              </c:ext>
            </c:extLst>
          </c:dPt>
          <c:dPt>
            <c:idx val="3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4D-7329-4248-9CA6-91E05B0DBE4F}"/>
              </c:ext>
            </c:extLst>
          </c:dPt>
          <c:dPt>
            <c:idx val="36"/>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4F-7329-4248-9CA6-91E05B0DBE4F}"/>
              </c:ext>
            </c:extLst>
          </c:dPt>
          <c:dPt>
            <c:idx val="37"/>
            <c:bubble3D val="0"/>
            <c:spPr>
              <a:solidFill>
                <a:schemeClr val="accent2">
                  <a:lumMod val="70000"/>
                  <a:lumOff val="30000"/>
                </a:schemeClr>
              </a:solidFill>
              <a:ln w="19050">
                <a:solidFill>
                  <a:schemeClr val="lt1"/>
                </a:solidFill>
              </a:ln>
              <a:effectLst/>
            </c:spPr>
            <c:extLst>
              <c:ext xmlns:c16="http://schemas.microsoft.com/office/drawing/2014/chart" uri="{C3380CC4-5D6E-409C-BE32-E72D297353CC}">
                <c16:uniqueId val="{00000051-7329-4248-9CA6-91E05B0DBE4F}"/>
              </c:ext>
            </c:extLst>
          </c:dPt>
          <c:dPt>
            <c:idx val="38"/>
            <c:bubble3D val="0"/>
            <c:spPr>
              <a:solidFill>
                <a:schemeClr val="accent3">
                  <a:lumMod val="70000"/>
                  <a:lumOff val="30000"/>
                </a:schemeClr>
              </a:solidFill>
              <a:ln w="19050">
                <a:solidFill>
                  <a:schemeClr val="lt1"/>
                </a:solidFill>
              </a:ln>
              <a:effectLst/>
            </c:spPr>
            <c:extLst>
              <c:ext xmlns:c16="http://schemas.microsoft.com/office/drawing/2014/chart" uri="{C3380CC4-5D6E-409C-BE32-E72D297353CC}">
                <c16:uniqueId val="{00000053-7329-4248-9CA6-91E05B0DBE4F}"/>
              </c:ext>
            </c:extLst>
          </c:dPt>
          <c:dPt>
            <c:idx val="39"/>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55-7329-4248-9CA6-91E05B0DBE4F}"/>
              </c:ext>
            </c:extLst>
          </c:dPt>
          <c:dPt>
            <c:idx val="40"/>
            <c:bubble3D val="0"/>
            <c:spPr>
              <a:solidFill>
                <a:schemeClr val="accent5">
                  <a:lumMod val="70000"/>
                  <a:lumOff val="30000"/>
                </a:schemeClr>
              </a:solidFill>
              <a:ln w="19050">
                <a:solidFill>
                  <a:schemeClr val="lt1"/>
                </a:solidFill>
              </a:ln>
              <a:effectLst/>
            </c:spPr>
            <c:extLst>
              <c:ext xmlns:c16="http://schemas.microsoft.com/office/drawing/2014/chart" uri="{C3380CC4-5D6E-409C-BE32-E72D297353CC}">
                <c16:uniqueId val="{00000057-7329-4248-9CA6-91E05B0DBE4F}"/>
              </c:ext>
            </c:extLst>
          </c:dPt>
          <c:dPt>
            <c:idx val="41"/>
            <c:bubble3D val="0"/>
            <c:spPr>
              <a:solidFill>
                <a:schemeClr val="accent6">
                  <a:lumMod val="70000"/>
                  <a:lumOff val="30000"/>
                </a:schemeClr>
              </a:solidFill>
              <a:ln w="19050">
                <a:solidFill>
                  <a:schemeClr val="lt1"/>
                </a:solidFill>
              </a:ln>
              <a:effectLst/>
            </c:spPr>
            <c:extLst>
              <c:ext xmlns:c16="http://schemas.microsoft.com/office/drawing/2014/chart" uri="{C3380CC4-5D6E-409C-BE32-E72D297353CC}">
                <c16:uniqueId val="{00000059-7329-4248-9CA6-91E05B0DBE4F}"/>
              </c:ext>
            </c:extLst>
          </c:dPt>
          <c:dPt>
            <c:idx val="42"/>
            <c:bubble3D val="0"/>
            <c:spPr>
              <a:solidFill>
                <a:schemeClr val="accent1">
                  <a:lumMod val="70000"/>
                </a:schemeClr>
              </a:solidFill>
              <a:ln w="19050">
                <a:solidFill>
                  <a:schemeClr val="lt1"/>
                </a:solidFill>
              </a:ln>
              <a:effectLst/>
            </c:spPr>
            <c:extLst>
              <c:ext xmlns:c16="http://schemas.microsoft.com/office/drawing/2014/chart" uri="{C3380CC4-5D6E-409C-BE32-E72D297353CC}">
                <c16:uniqueId val="{0000005B-7329-4248-9CA6-91E05B0DBE4F}"/>
              </c:ext>
            </c:extLst>
          </c:dPt>
          <c:dPt>
            <c:idx val="43"/>
            <c:bubble3D val="0"/>
            <c:spPr>
              <a:solidFill>
                <a:schemeClr val="accent2">
                  <a:lumMod val="70000"/>
                </a:schemeClr>
              </a:solidFill>
              <a:ln w="19050">
                <a:solidFill>
                  <a:schemeClr val="lt1"/>
                </a:solidFill>
              </a:ln>
              <a:effectLst/>
            </c:spPr>
            <c:extLst>
              <c:ext xmlns:c16="http://schemas.microsoft.com/office/drawing/2014/chart" uri="{C3380CC4-5D6E-409C-BE32-E72D297353CC}">
                <c16:uniqueId val="{0000005D-7329-4248-9CA6-91E05B0DBE4F}"/>
              </c:ext>
            </c:extLst>
          </c:dPt>
          <c:dPt>
            <c:idx val="44"/>
            <c:bubble3D val="0"/>
            <c:spPr>
              <a:solidFill>
                <a:schemeClr val="accent3">
                  <a:lumMod val="70000"/>
                </a:schemeClr>
              </a:solidFill>
              <a:ln w="19050">
                <a:solidFill>
                  <a:schemeClr val="lt1"/>
                </a:solidFill>
              </a:ln>
              <a:effectLst/>
            </c:spPr>
            <c:extLst>
              <c:ext xmlns:c16="http://schemas.microsoft.com/office/drawing/2014/chart" uri="{C3380CC4-5D6E-409C-BE32-E72D297353CC}">
                <c16:uniqueId val="{0000005F-7329-4248-9CA6-91E05B0DBE4F}"/>
              </c:ext>
            </c:extLst>
          </c:dPt>
          <c:dPt>
            <c:idx val="45"/>
            <c:bubble3D val="0"/>
            <c:spPr>
              <a:solidFill>
                <a:schemeClr val="accent4">
                  <a:lumMod val="70000"/>
                </a:schemeClr>
              </a:solidFill>
              <a:ln w="19050">
                <a:solidFill>
                  <a:schemeClr val="lt1"/>
                </a:solidFill>
              </a:ln>
              <a:effectLst/>
            </c:spPr>
            <c:extLst>
              <c:ext xmlns:c16="http://schemas.microsoft.com/office/drawing/2014/chart" uri="{C3380CC4-5D6E-409C-BE32-E72D297353CC}">
                <c16:uniqueId val="{00000061-7329-4248-9CA6-91E05B0DBE4F}"/>
              </c:ext>
            </c:extLst>
          </c:dPt>
          <c:dPt>
            <c:idx val="46"/>
            <c:bubble3D val="0"/>
            <c:spPr>
              <a:solidFill>
                <a:schemeClr val="accent5">
                  <a:lumMod val="70000"/>
                </a:schemeClr>
              </a:solidFill>
              <a:ln w="19050">
                <a:solidFill>
                  <a:schemeClr val="lt1"/>
                </a:solidFill>
              </a:ln>
              <a:effectLst/>
            </c:spPr>
            <c:extLst>
              <c:ext xmlns:c16="http://schemas.microsoft.com/office/drawing/2014/chart" uri="{C3380CC4-5D6E-409C-BE32-E72D297353CC}">
                <c16:uniqueId val="{00000063-7329-4248-9CA6-91E05B0DBE4F}"/>
              </c:ext>
            </c:extLst>
          </c:dPt>
          <c:dPt>
            <c:idx val="47"/>
            <c:bubble3D val="0"/>
            <c:spPr>
              <a:solidFill>
                <a:schemeClr val="accent6">
                  <a:lumMod val="70000"/>
                </a:schemeClr>
              </a:solidFill>
              <a:ln w="19050">
                <a:solidFill>
                  <a:schemeClr val="lt1"/>
                </a:solidFill>
              </a:ln>
              <a:effectLst/>
            </c:spPr>
            <c:extLst>
              <c:ext xmlns:c16="http://schemas.microsoft.com/office/drawing/2014/chart" uri="{C3380CC4-5D6E-409C-BE32-E72D297353CC}">
                <c16:uniqueId val="{00000065-7329-4248-9CA6-91E05B0DBE4F}"/>
              </c:ext>
            </c:extLst>
          </c:dPt>
          <c:dPt>
            <c:idx val="48"/>
            <c:bubble3D val="0"/>
            <c:spPr>
              <a:solidFill>
                <a:schemeClr val="accent1">
                  <a:lumMod val="50000"/>
                  <a:lumOff val="50000"/>
                </a:schemeClr>
              </a:solidFill>
              <a:ln w="19050">
                <a:solidFill>
                  <a:schemeClr val="lt1"/>
                </a:solidFill>
              </a:ln>
              <a:effectLst/>
            </c:spPr>
            <c:extLst>
              <c:ext xmlns:c16="http://schemas.microsoft.com/office/drawing/2014/chart" uri="{C3380CC4-5D6E-409C-BE32-E72D297353CC}">
                <c16:uniqueId val="{00000067-7329-4248-9CA6-91E05B0DBE4F}"/>
              </c:ext>
            </c:extLst>
          </c:dPt>
          <c:dPt>
            <c:idx val="49"/>
            <c:bubble3D val="0"/>
            <c:spPr>
              <a:solidFill>
                <a:schemeClr val="accent2">
                  <a:lumMod val="50000"/>
                  <a:lumOff val="50000"/>
                </a:schemeClr>
              </a:solidFill>
              <a:ln w="19050">
                <a:solidFill>
                  <a:schemeClr val="lt1"/>
                </a:solidFill>
              </a:ln>
              <a:effectLst/>
            </c:spPr>
            <c:extLst>
              <c:ext xmlns:c16="http://schemas.microsoft.com/office/drawing/2014/chart" uri="{C3380CC4-5D6E-409C-BE32-E72D297353CC}">
                <c16:uniqueId val="{00000069-7329-4248-9CA6-91E05B0DBE4F}"/>
              </c:ext>
            </c:extLst>
          </c:dPt>
          <c:dPt>
            <c:idx val="50"/>
            <c:bubble3D val="0"/>
            <c:spPr>
              <a:solidFill>
                <a:schemeClr val="accent3">
                  <a:lumMod val="50000"/>
                  <a:lumOff val="50000"/>
                </a:schemeClr>
              </a:solidFill>
              <a:ln w="19050">
                <a:solidFill>
                  <a:schemeClr val="lt1"/>
                </a:solidFill>
              </a:ln>
              <a:effectLst/>
            </c:spPr>
            <c:extLst>
              <c:ext xmlns:c16="http://schemas.microsoft.com/office/drawing/2014/chart" uri="{C3380CC4-5D6E-409C-BE32-E72D297353CC}">
                <c16:uniqueId val="{0000006B-7329-4248-9CA6-91E05B0DBE4F}"/>
              </c:ext>
            </c:extLst>
          </c:dPt>
          <c:dPt>
            <c:idx val="51"/>
            <c:bubble3D val="0"/>
            <c:spPr>
              <a:solidFill>
                <a:schemeClr val="accent4">
                  <a:lumMod val="50000"/>
                  <a:lumOff val="50000"/>
                </a:schemeClr>
              </a:solidFill>
              <a:ln w="19050">
                <a:solidFill>
                  <a:schemeClr val="lt1"/>
                </a:solidFill>
              </a:ln>
              <a:effectLst/>
            </c:spPr>
            <c:extLst>
              <c:ext xmlns:c16="http://schemas.microsoft.com/office/drawing/2014/chart" uri="{C3380CC4-5D6E-409C-BE32-E72D297353CC}">
                <c16:uniqueId val="{0000006D-7329-4248-9CA6-91E05B0DBE4F}"/>
              </c:ext>
            </c:extLst>
          </c:dPt>
          <c:dPt>
            <c:idx val="52"/>
            <c:bubble3D val="0"/>
            <c:spPr>
              <a:solidFill>
                <a:schemeClr val="accent5">
                  <a:lumMod val="50000"/>
                  <a:lumOff val="50000"/>
                </a:schemeClr>
              </a:solidFill>
              <a:ln w="19050">
                <a:solidFill>
                  <a:schemeClr val="lt1"/>
                </a:solidFill>
              </a:ln>
              <a:effectLst/>
            </c:spPr>
            <c:extLst>
              <c:ext xmlns:c16="http://schemas.microsoft.com/office/drawing/2014/chart" uri="{C3380CC4-5D6E-409C-BE32-E72D297353CC}">
                <c16:uniqueId val="{0000006F-7329-4248-9CA6-91E05B0DBE4F}"/>
              </c:ext>
            </c:extLst>
          </c:dPt>
          <c:dPt>
            <c:idx val="53"/>
            <c:bubble3D val="0"/>
            <c:spPr>
              <a:solidFill>
                <a:schemeClr val="accent6">
                  <a:lumMod val="50000"/>
                  <a:lumOff val="50000"/>
                </a:schemeClr>
              </a:solidFill>
              <a:ln w="19050">
                <a:solidFill>
                  <a:schemeClr val="lt1"/>
                </a:solidFill>
              </a:ln>
              <a:effectLst/>
            </c:spPr>
            <c:extLst>
              <c:ext xmlns:c16="http://schemas.microsoft.com/office/drawing/2014/chart" uri="{C3380CC4-5D6E-409C-BE32-E72D297353CC}">
                <c16:uniqueId val="{00000071-7329-4248-9CA6-91E05B0DBE4F}"/>
              </c:ext>
            </c:extLst>
          </c:dPt>
          <c:dPt>
            <c:idx val="54"/>
            <c:bubble3D val="0"/>
            <c:spPr>
              <a:solidFill>
                <a:schemeClr val="accent1"/>
              </a:solidFill>
              <a:ln w="19050">
                <a:solidFill>
                  <a:schemeClr val="lt1"/>
                </a:solidFill>
              </a:ln>
              <a:effectLst/>
            </c:spPr>
            <c:extLst>
              <c:ext xmlns:c16="http://schemas.microsoft.com/office/drawing/2014/chart" uri="{C3380CC4-5D6E-409C-BE32-E72D297353CC}">
                <c16:uniqueId val="{00000073-7329-4248-9CA6-91E05B0DBE4F}"/>
              </c:ext>
            </c:extLst>
          </c:dPt>
          <c:dPt>
            <c:idx val="55"/>
            <c:bubble3D val="0"/>
            <c:spPr>
              <a:solidFill>
                <a:schemeClr val="accent2"/>
              </a:solidFill>
              <a:ln w="19050">
                <a:solidFill>
                  <a:schemeClr val="lt1"/>
                </a:solidFill>
              </a:ln>
              <a:effectLst/>
            </c:spPr>
            <c:extLst>
              <c:ext xmlns:c16="http://schemas.microsoft.com/office/drawing/2014/chart" uri="{C3380CC4-5D6E-409C-BE32-E72D297353CC}">
                <c16:uniqueId val="{00000075-7329-4248-9CA6-91E05B0DBE4F}"/>
              </c:ext>
            </c:extLst>
          </c:dPt>
          <c:dPt>
            <c:idx val="56"/>
            <c:bubble3D val="0"/>
            <c:spPr>
              <a:solidFill>
                <a:schemeClr val="accent3"/>
              </a:solidFill>
              <a:ln w="19050">
                <a:solidFill>
                  <a:schemeClr val="lt1"/>
                </a:solidFill>
              </a:ln>
              <a:effectLst/>
            </c:spPr>
            <c:extLst>
              <c:ext xmlns:c16="http://schemas.microsoft.com/office/drawing/2014/chart" uri="{C3380CC4-5D6E-409C-BE32-E72D297353CC}">
                <c16:uniqueId val="{00000077-7329-4248-9CA6-91E05B0DBE4F}"/>
              </c:ext>
            </c:extLst>
          </c:dPt>
          <c:dPt>
            <c:idx val="57"/>
            <c:bubble3D val="0"/>
            <c:spPr>
              <a:solidFill>
                <a:schemeClr val="accent4"/>
              </a:solidFill>
              <a:ln w="19050">
                <a:solidFill>
                  <a:schemeClr val="lt1"/>
                </a:solidFill>
              </a:ln>
              <a:effectLst/>
            </c:spPr>
            <c:extLst>
              <c:ext xmlns:c16="http://schemas.microsoft.com/office/drawing/2014/chart" uri="{C3380CC4-5D6E-409C-BE32-E72D297353CC}">
                <c16:uniqueId val="{00000079-7329-4248-9CA6-91E05B0DBE4F}"/>
              </c:ext>
            </c:extLst>
          </c:dPt>
          <c:dPt>
            <c:idx val="58"/>
            <c:bubble3D val="0"/>
            <c:spPr>
              <a:solidFill>
                <a:schemeClr val="accent5"/>
              </a:solidFill>
              <a:ln w="19050">
                <a:solidFill>
                  <a:schemeClr val="lt1"/>
                </a:solidFill>
              </a:ln>
              <a:effectLst/>
            </c:spPr>
            <c:extLst>
              <c:ext xmlns:c16="http://schemas.microsoft.com/office/drawing/2014/chart" uri="{C3380CC4-5D6E-409C-BE32-E72D297353CC}">
                <c16:uniqueId val="{0000007B-7329-4248-9CA6-91E05B0DBE4F}"/>
              </c:ext>
            </c:extLst>
          </c:dPt>
          <c:dPt>
            <c:idx val="59"/>
            <c:bubble3D val="0"/>
            <c:spPr>
              <a:solidFill>
                <a:schemeClr val="accent6"/>
              </a:solidFill>
              <a:ln w="19050">
                <a:solidFill>
                  <a:schemeClr val="lt1"/>
                </a:solidFill>
              </a:ln>
              <a:effectLst/>
            </c:spPr>
            <c:extLst>
              <c:ext xmlns:c16="http://schemas.microsoft.com/office/drawing/2014/chart" uri="{C3380CC4-5D6E-409C-BE32-E72D297353CC}">
                <c16:uniqueId val="{0000007D-7329-4248-9CA6-91E05B0DBE4F}"/>
              </c:ext>
            </c:extLst>
          </c:dPt>
          <c:dPt>
            <c:idx val="60"/>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7F-7329-4248-9CA6-91E05B0DBE4F}"/>
              </c:ext>
            </c:extLst>
          </c:dPt>
          <c:dPt>
            <c:idx val="61"/>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81-7329-4248-9CA6-91E05B0DBE4F}"/>
              </c:ext>
            </c:extLst>
          </c:dPt>
          <c:dPt>
            <c:idx val="62"/>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83-7329-4248-9CA6-91E05B0DBE4F}"/>
              </c:ext>
            </c:extLst>
          </c:dPt>
          <c:dPt>
            <c:idx val="63"/>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85-7329-4248-9CA6-91E05B0DBE4F}"/>
              </c:ext>
            </c:extLst>
          </c:dPt>
          <c:dPt>
            <c:idx val="6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87-7329-4248-9CA6-91E05B0DBE4F}"/>
              </c:ext>
            </c:extLst>
          </c:dPt>
          <c:dPt>
            <c:idx val="65"/>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89-7329-4248-9CA6-91E05B0DBE4F}"/>
              </c:ext>
            </c:extLst>
          </c:dPt>
          <c:dPt>
            <c:idx val="6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8B-7329-4248-9CA6-91E05B0DBE4F}"/>
              </c:ext>
            </c:extLst>
          </c:dPt>
          <c:dPt>
            <c:idx val="67"/>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8D-7329-4248-9CA6-91E05B0DBE4F}"/>
              </c:ext>
            </c:extLst>
          </c:dPt>
          <c:dPt>
            <c:idx val="68"/>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8F-7329-4248-9CA6-91E05B0DBE4F}"/>
              </c:ext>
            </c:extLst>
          </c:dPt>
          <c:dPt>
            <c:idx val="69"/>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91-7329-4248-9CA6-91E05B0DBE4F}"/>
              </c:ext>
            </c:extLst>
          </c:dPt>
          <c:dPt>
            <c:idx val="70"/>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93-7329-4248-9CA6-91E05B0DBE4F}"/>
              </c:ext>
            </c:extLst>
          </c:dPt>
          <c:dPt>
            <c:idx val="71"/>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95-7329-4248-9CA6-91E05B0DBE4F}"/>
              </c:ext>
            </c:extLst>
          </c:dPt>
          <c:dPt>
            <c:idx val="72"/>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97-7329-4248-9CA6-91E05B0DBE4F}"/>
              </c:ext>
            </c:extLst>
          </c:dPt>
          <c:dPt>
            <c:idx val="73"/>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99-7329-4248-9CA6-91E05B0DBE4F}"/>
              </c:ext>
            </c:extLst>
          </c:dPt>
          <c:dPt>
            <c:idx val="74"/>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9B-7329-4248-9CA6-91E05B0DBE4F}"/>
              </c:ext>
            </c:extLst>
          </c:dPt>
          <c:dPt>
            <c:idx val="75"/>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9D-7329-4248-9CA6-91E05B0DBE4F}"/>
              </c:ext>
            </c:extLst>
          </c:dPt>
          <c:dPt>
            <c:idx val="76"/>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9F-7329-4248-9CA6-91E05B0DBE4F}"/>
              </c:ext>
            </c:extLst>
          </c:dPt>
          <c:dPt>
            <c:idx val="77"/>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A1-7329-4248-9CA6-91E05B0DBE4F}"/>
              </c:ext>
            </c:extLst>
          </c:dPt>
          <c:dPt>
            <c:idx val="78"/>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A3-7329-4248-9CA6-91E05B0DBE4F}"/>
              </c:ext>
            </c:extLst>
          </c:dPt>
          <c:dPt>
            <c:idx val="79"/>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A5-7329-4248-9CA6-91E05B0DBE4F}"/>
              </c:ext>
            </c:extLst>
          </c:dPt>
          <c:dPt>
            <c:idx val="80"/>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A7-7329-4248-9CA6-91E05B0DBE4F}"/>
              </c:ext>
            </c:extLst>
          </c:dPt>
          <c:dPt>
            <c:idx val="8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A9-7329-4248-9CA6-91E05B0DBE4F}"/>
              </c:ext>
            </c:extLst>
          </c:dPt>
          <c:dPt>
            <c:idx val="82"/>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AB-7329-4248-9CA6-91E05B0DBE4F}"/>
              </c:ext>
            </c:extLst>
          </c:dPt>
          <c:dPt>
            <c:idx val="8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AD-7329-4248-9CA6-91E05B0DBE4F}"/>
              </c:ext>
            </c:extLst>
          </c:dPt>
          <c:dPt>
            <c:idx val="84"/>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AF-7329-4248-9CA6-91E05B0DBE4F}"/>
              </c:ext>
            </c:extLst>
          </c:dPt>
          <c:dPt>
            <c:idx val="85"/>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B1-7329-4248-9CA6-91E05B0DBE4F}"/>
              </c:ext>
            </c:extLst>
          </c:dPt>
          <c:dPt>
            <c:idx val="86"/>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B3-7329-4248-9CA6-91E05B0DBE4F}"/>
              </c:ext>
            </c:extLst>
          </c:dPt>
          <c:dPt>
            <c:idx val="87"/>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B5-7329-4248-9CA6-91E05B0DBE4F}"/>
              </c:ext>
            </c:extLst>
          </c:dPt>
          <c:dPt>
            <c:idx val="88"/>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B7-7329-4248-9CA6-91E05B0DBE4F}"/>
              </c:ext>
            </c:extLst>
          </c:dPt>
          <c:dPt>
            <c:idx val="89"/>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B9-7329-4248-9CA6-91E05B0DBE4F}"/>
              </c:ext>
            </c:extLst>
          </c:dPt>
          <c:dPt>
            <c:idx val="90"/>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BB-7329-4248-9CA6-91E05B0DBE4F}"/>
              </c:ext>
            </c:extLst>
          </c:dPt>
          <c:dPt>
            <c:idx val="91"/>
            <c:bubble3D val="0"/>
            <c:spPr>
              <a:solidFill>
                <a:schemeClr val="accent2">
                  <a:lumMod val="70000"/>
                  <a:lumOff val="30000"/>
                </a:schemeClr>
              </a:solidFill>
              <a:ln w="19050">
                <a:solidFill>
                  <a:schemeClr val="lt1"/>
                </a:solidFill>
              </a:ln>
              <a:effectLst/>
            </c:spPr>
            <c:extLst>
              <c:ext xmlns:c16="http://schemas.microsoft.com/office/drawing/2014/chart" uri="{C3380CC4-5D6E-409C-BE32-E72D297353CC}">
                <c16:uniqueId val="{000000BD-7329-4248-9CA6-91E05B0DBE4F}"/>
              </c:ext>
            </c:extLst>
          </c:dPt>
          <c:dPt>
            <c:idx val="92"/>
            <c:bubble3D val="0"/>
            <c:spPr>
              <a:solidFill>
                <a:schemeClr val="accent3">
                  <a:lumMod val="70000"/>
                  <a:lumOff val="30000"/>
                </a:schemeClr>
              </a:solidFill>
              <a:ln w="19050">
                <a:solidFill>
                  <a:schemeClr val="lt1"/>
                </a:solidFill>
              </a:ln>
              <a:effectLst/>
            </c:spPr>
            <c:extLst>
              <c:ext xmlns:c16="http://schemas.microsoft.com/office/drawing/2014/chart" uri="{C3380CC4-5D6E-409C-BE32-E72D297353CC}">
                <c16:uniqueId val="{000000BF-7329-4248-9CA6-91E05B0DBE4F}"/>
              </c:ext>
            </c:extLst>
          </c:dPt>
          <c:dPt>
            <c:idx val="93"/>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C1-7329-4248-9CA6-91E05B0DBE4F}"/>
              </c:ext>
            </c:extLst>
          </c:dPt>
          <c:dPt>
            <c:idx val="94"/>
            <c:bubble3D val="0"/>
            <c:spPr>
              <a:solidFill>
                <a:schemeClr val="accent5">
                  <a:lumMod val="70000"/>
                  <a:lumOff val="30000"/>
                </a:schemeClr>
              </a:solidFill>
              <a:ln w="19050">
                <a:solidFill>
                  <a:schemeClr val="lt1"/>
                </a:solidFill>
              </a:ln>
              <a:effectLst/>
            </c:spPr>
            <c:extLst>
              <c:ext xmlns:c16="http://schemas.microsoft.com/office/drawing/2014/chart" uri="{C3380CC4-5D6E-409C-BE32-E72D297353CC}">
                <c16:uniqueId val="{000000C3-7329-4248-9CA6-91E05B0DBE4F}"/>
              </c:ext>
            </c:extLst>
          </c:dPt>
          <c:dPt>
            <c:idx val="95"/>
            <c:bubble3D val="0"/>
            <c:spPr>
              <a:solidFill>
                <a:schemeClr val="accent6">
                  <a:lumMod val="70000"/>
                  <a:lumOff val="30000"/>
                </a:schemeClr>
              </a:solidFill>
              <a:ln w="19050">
                <a:solidFill>
                  <a:schemeClr val="lt1"/>
                </a:solidFill>
              </a:ln>
              <a:effectLst/>
            </c:spPr>
            <c:extLst>
              <c:ext xmlns:c16="http://schemas.microsoft.com/office/drawing/2014/chart" uri="{C3380CC4-5D6E-409C-BE32-E72D297353CC}">
                <c16:uniqueId val="{000000C5-7329-4248-9CA6-91E05B0DBE4F}"/>
              </c:ext>
            </c:extLst>
          </c:dPt>
          <c:dPt>
            <c:idx val="96"/>
            <c:bubble3D val="0"/>
            <c:spPr>
              <a:solidFill>
                <a:schemeClr val="accent1">
                  <a:lumMod val="70000"/>
                </a:schemeClr>
              </a:solidFill>
              <a:ln w="19050">
                <a:solidFill>
                  <a:schemeClr val="lt1"/>
                </a:solidFill>
              </a:ln>
              <a:effectLst/>
            </c:spPr>
            <c:extLst>
              <c:ext xmlns:c16="http://schemas.microsoft.com/office/drawing/2014/chart" uri="{C3380CC4-5D6E-409C-BE32-E72D297353CC}">
                <c16:uniqueId val="{000000C7-7329-4248-9CA6-91E05B0DBE4F}"/>
              </c:ext>
            </c:extLst>
          </c:dPt>
          <c:dPt>
            <c:idx val="97"/>
            <c:bubble3D val="0"/>
            <c:spPr>
              <a:solidFill>
                <a:schemeClr val="accent2">
                  <a:lumMod val="70000"/>
                </a:schemeClr>
              </a:solidFill>
              <a:ln w="19050">
                <a:solidFill>
                  <a:schemeClr val="lt1"/>
                </a:solidFill>
              </a:ln>
              <a:effectLst/>
            </c:spPr>
            <c:extLst>
              <c:ext xmlns:c16="http://schemas.microsoft.com/office/drawing/2014/chart" uri="{C3380CC4-5D6E-409C-BE32-E72D297353CC}">
                <c16:uniqueId val="{000000C9-7329-4248-9CA6-91E05B0DBE4F}"/>
              </c:ext>
            </c:extLst>
          </c:dPt>
          <c:dPt>
            <c:idx val="98"/>
            <c:bubble3D val="0"/>
            <c:spPr>
              <a:solidFill>
                <a:schemeClr val="accent3">
                  <a:lumMod val="70000"/>
                </a:schemeClr>
              </a:solidFill>
              <a:ln w="19050">
                <a:solidFill>
                  <a:schemeClr val="lt1"/>
                </a:solidFill>
              </a:ln>
              <a:effectLst/>
            </c:spPr>
            <c:extLst>
              <c:ext xmlns:c16="http://schemas.microsoft.com/office/drawing/2014/chart" uri="{C3380CC4-5D6E-409C-BE32-E72D297353CC}">
                <c16:uniqueId val="{000000CB-7329-4248-9CA6-91E05B0DBE4F}"/>
              </c:ext>
            </c:extLst>
          </c:dPt>
          <c:dPt>
            <c:idx val="99"/>
            <c:bubble3D val="0"/>
            <c:spPr>
              <a:solidFill>
                <a:schemeClr val="accent4">
                  <a:lumMod val="70000"/>
                </a:schemeClr>
              </a:solidFill>
              <a:ln w="19050">
                <a:solidFill>
                  <a:schemeClr val="lt1"/>
                </a:solidFill>
              </a:ln>
              <a:effectLst/>
            </c:spPr>
            <c:extLst>
              <c:ext xmlns:c16="http://schemas.microsoft.com/office/drawing/2014/chart" uri="{C3380CC4-5D6E-409C-BE32-E72D297353CC}">
                <c16:uniqueId val="{000000CD-7329-4248-9CA6-91E05B0DBE4F}"/>
              </c:ext>
            </c:extLst>
          </c:dPt>
          <c:dPt>
            <c:idx val="100"/>
            <c:bubble3D val="0"/>
            <c:spPr>
              <a:solidFill>
                <a:schemeClr val="accent5">
                  <a:lumMod val="70000"/>
                </a:schemeClr>
              </a:solidFill>
              <a:ln w="19050">
                <a:solidFill>
                  <a:schemeClr val="lt1"/>
                </a:solidFill>
              </a:ln>
              <a:effectLst/>
            </c:spPr>
            <c:extLst>
              <c:ext xmlns:c16="http://schemas.microsoft.com/office/drawing/2014/chart" uri="{C3380CC4-5D6E-409C-BE32-E72D297353CC}">
                <c16:uniqueId val="{000000CF-7329-4248-9CA6-91E05B0DBE4F}"/>
              </c:ext>
            </c:extLst>
          </c:dPt>
          <c:dPt>
            <c:idx val="101"/>
            <c:bubble3D val="0"/>
            <c:spPr>
              <a:solidFill>
                <a:schemeClr val="accent6">
                  <a:lumMod val="70000"/>
                </a:schemeClr>
              </a:solidFill>
              <a:ln w="19050">
                <a:solidFill>
                  <a:schemeClr val="lt1"/>
                </a:solidFill>
              </a:ln>
              <a:effectLst/>
            </c:spPr>
            <c:extLst>
              <c:ext xmlns:c16="http://schemas.microsoft.com/office/drawing/2014/chart" uri="{C3380CC4-5D6E-409C-BE32-E72D297353CC}">
                <c16:uniqueId val="{000000D1-7329-4248-9CA6-91E05B0DBE4F}"/>
              </c:ext>
            </c:extLst>
          </c:dPt>
          <c:dPt>
            <c:idx val="102"/>
            <c:bubble3D val="0"/>
            <c:spPr>
              <a:solidFill>
                <a:schemeClr val="accent1">
                  <a:lumMod val="50000"/>
                  <a:lumOff val="50000"/>
                </a:schemeClr>
              </a:solidFill>
              <a:ln w="19050">
                <a:solidFill>
                  <a:schemeClr val="lt1"/>
                </a:solidFill>
              </a:ln>
              <a:effectLst/>
            </c:spPr>
            <c:extLst>
              <c:ext xmlns:c16="http://schemas.microsoft.com/office/drawing/2014/chart" uri="{C3380CC4-5D6E-409C-BE32-E72D297353CC}">
                <c16:uniqueId val="{000000D3-7329-4248-9CA6-91E05B0DBE4F}"/>
              </c:ext>
            </c:extLst>
          </c:dPt>
          <c:dPt>
            <c:idx val="103"/>
            <c:bubble3D val="0"/>
            <c:spPr>
              <a:solidFill>
                <a:schemeClr val="accent2">
                  <a:lumMod val="50000"/>
                  <a:lumOff val="50000"/>
                </a:schemeClr>
              </a:solidFill>
              <a:ln w="19050">
                <a:solidFill>
                  <a:schemeClr val="lt1"/>
                </a:solidFill>
              </a:ln>
              <a:effectLst/>
            </c:spPr>
            <c:extLst>
              <c:ext xmlns:c16="http://schemas.microsoft.com/office/drawing/2014/chart" uri="{C3380CC4-5D6E-409C-BE32-E72D297353CC}">
                <c16:uniqueId val="{000000D5-7329-4248-9CA6-91E05B0DBE4F}"/>
              </c:ext>
            </c:extLst>
          </c:dPt>
          <c:dPt>
            <c:idx val="104"/>
            <c:bubble3D val="0"/>
            <c:spPr>
              <a:solidFill>
                <a:schemeClr val="accent3">
                  <a:lumMod val="50000"/>
                  <a:lumOff val="50000"/>
                </a:schemeClr>
              </a:solidFill>
              <a:ln w="19050">
                <a:solidFill>
                  <a:schemeClr val="lt1"/>
                </a:solidFill>
              </a:ln>
              <a:effectLst/>
            </c:spPr>
            <c:extLst>
              <c:ext xmlns:c16="http://schemas.microsoft.com/office/drawing/2014/chart" uri="{C3380CC4-5D6E-409C-BE32-E72D297353CC}">
                <c16:uniqueId val="{000000D7-7329-4248-9CA6-91E05B0DBE4F}"/>
              </c:ext>
            </c:extLst>
          </c:dPt>
          <c:dPt>
            <c:idx val="105"/>
            <c:bubble3D val="0"/>
            <c:spPr>
              <a:solidFill>
                <a:schemeClr val="accent4">
                  <a:lumMod val="50000"/>
                  <a:lumOff val="50000"/>
                </a:schemeClr>
              </a:solidFill>
              <a:ln w="19050">
                <a:solidFill>
                  <a:schemeClr val="lt1"/>
                </a:solidFill>
              </a:ln>
              <a:effectLst/>
            </c:spPr>
            <c:extLst>
              <c:ext xmlns:c16="http://schemas.microsoft.com/office/drawing/2014/chart" uri="{C3380CC4-5D6E-409C-BE32-E72D297353CC}">
                <c16:uniqueId val="{000000D9-7329-4248-9CA6-91E05B0DBE4F}"/>
              </c:ext>
            </c:extLst>
          </c:dPt>
          <c:dPt>
            <c:idx val="106"/>
            <c:bubble3D val="0"/>
            <c:spPr>
              <a:solidFill>
                <a:schemeClr val="accent5">
                  <a:lumMod val="50000"/>
                  <a:lumOff val="50000"/>
                </a:schemeClr>
              </a:solidFill>
              <a:ln w="19050">
                <a:solidFill>
                  <a:schemeClr val="lt1"/>
                </a:solidFill>
              </a:ln>
              <a:effectLst/>
            </c:spPr>
            <c:extLst>
              <c:ext xmlns:c16="http://schemas.microsoft.com/office/drawing/2014/chart" uri="{C3380CC4-5D6E-409C-BE32-E72D297353CC}">
                <c16:uniqueId val="{000000DB-7329-4248-9CA6-91E05B0DBE4F}"/>
              </c:ext>
            </c:extLst>
          </c:dPt>
          <c:dPt>
            <c:idx val="107"/>
            <c:bubble3D val="0"/>
            <c:spPr>
              <a:solidFill>
                <a:schemeClr val="accent6">
                  <a:lumMod val="50000"/>
                  <a:lumOff val="50000"/>
                </a:schemeClr>
              </a:solidFill>
              <a:ln w="19050">
                <a:solidFill>
                  <a:schemeClr val="lt1"/>
                </a:solidFill>
              </a:ln>
              <a:effectLst/>
            </c:spPr>
            <c:extLst>
              <c:ext xmlns:c16="http://schemas.microsoft.com/office/drawing/2014/chart" uri="{C3380CC4-5D6E-409C-BE32-E72D297353CC}">
                <c16:uniqueId val="{000000DD-7329-4248-9CA6-91E05B0DBE4F}"/>
              </c:ext>
            </c:extLst>
          </c:dPt>
          <c:dPt>
            <c:idx val="108"/>
            <c:bubble3D val="0"/>
            <c:spPr>
              <a:solidFill>
                <a:schemeClr val="accent1"/>
              </a:solidFill>
              <a:ln w="19050">
                <a:solidFill>
                  <a:schemeClr val="lt1"/>
                </a:solidFill>
              </a:ln>
              <a:effectLst/>
            </c:spPr>
            <c:extLst>
              <c:ext xmlns:c16="http://schemas.microsoft.com/office/drawing/2014/chart" uri="{C3380CC4-5D6E-409C-BE32-E72D297353CC}">
                <c16:uniqueId val="{000000DF-7329-4248-9CA6-91E05B0DBE4F}"/>
              </c:ext>
            </c:extLst>
          </c:dPt>
          <c:dPt>
            <c:idx val="109"/>
            <c:bubble3D val="0"/>
            <c:spPr>
              <a:solidFill>
                <a:schemeClr val="accent2"/>
              </a:solidFill>
              <a:ln w="19050">
                <a:solidFill>
                  <a:schemeClr val="lt1"/>
                </a:solidFill>
              </a:ln>
              <a:effectLst/>
            </c:spPr>
            <c:extLst>
              <c:ext xmlns:c16="http://schemas.microsoft.com/office/drawing/2014/chart" uri="{C3380CC4-5D6E-409C-BE32-E72D297353CC}">
                <c16:uniqueId val="{000000E1-7329-4248-9CA6-91E05B0DBE4F}"/>
              </c:ext>
            </c:extLst>
          </c:dPt>
          <c:dPt>
            <c:idx val="110"/>
            <c:bubble3D val="0"/>
            <c:spPr>
              <a:solidFill>
                <a:schemeClr val="accent3"/>
              </a:solidFill>
              <a:ln w="19050">
                <a:solidFill>
                  <a:schemeClr val="lt1"/>
                </a:solidFill>
              </a:ln>
              <a:effectLst/>
            </c:spPr>
            <c:extLst>
              <c:ext xmlns:c16="http://schemas.microsoft.com/office/drawing/2014/chart" uri="{C3380CC4-5D6E-409C-BE32-E72D297353CC}">
                <c16:uniqueId val="{000000E3-7329-4248-9CA6-91E05B0DBE4F}"/>
              </c:ext>
            </c:extLst>
          </c:dPt>
          <c:dPt>
            <c:idx val="111"/>
            <c:bubble3D val="0"/>
            <c:spPr>
              <a:solidFill>
                <a:schemeClr val="accent4"/>
              </a:solidFill>
              <a:ln w="19050">
                <a:solidFill>
                  <a:schemeClr val="lt1"/>
                </a:solidFill>
              </a:ln>
              <a:effectLst/>
            </c:spPr>
            <c:extLst>
              <c:ext xmlns:c16="http://schemas.microsoft.com/office/drawing/2014/chart" uri="{C3380CC4-5D6E-409C-BE32-E72D297353CC}">
                <c16:uniqueId val="{000000E5-7329-4248-9CA6-91E05B0DBE4F}"/>
              </c:ext>
            </c:extLst>
          </c:dPt>
          <c:dPt>
            <c:idx val="112"/>
            <c:bubble3D val="0"/>
            <c:spPr>
              <a:solidFill>
                <a:schemeClr val="accent5"/>
              </a:solidFill>
              <a:ln w="19050">
                <a:solidFill>
                  <a:schemeClr val="lt1"/>
                </a:solidFill>
              </a:ln>
              <a:effectLst/>
            </c:spPr>
            <c:extLst>
              <c:ext xmlns:c16="http://schemas.microsoft.com/office/drawing/2014/chart" uri="{C3380CC4-5D6E-409C-BE32-E72D297353CC}">
                <c16:uniqueId val="{000000E7-7329-4248-9CA6-91E05B0DBE4F}"/>
              </c:ext>
            </c:extLst>
          </c:dPt>
          <c:dPt>
            <c:idx val="113"/>
            <c:bubble3D val="0"/>
            <c:spPr>
              <a:solidFill>
                <a:schemeClr val="accent6"/>
              </a:solidFill>
              <a:ln w="19050">
                <a:solidFill>
                  <a:schemeClr val="lt1"/>
                </a:solidFill>
              </a:ln>
              <a:effectLst/>
            </c:spPr>
            <c:extLst>
              <c:ext xmlns:c16="http://schemas.microsoft.com/office/drawing/2014/chart" uri="{C3380CC4-5D6E-409C-BE32-E72D297353CC}">
                <c16:uniqueId val="{000000E9-7329-4248-9CA6-91E05B0DBE4F}"/>
              </c:ext>
            </c:extLst>
          </c:dPt>
          <c:dPt>
            <c:idx val="114"/>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EB-7329-4248-9CA6-91E05B0DBE4F}"/>
              </c:ext>
            </c:extLst>
          </c:dPt>
          <c:dPt>
            <c:idx val="115"/>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ED-7329-4248-9CA6-91E05B0DBE4F}"/>
              </c:ext>
            </c:extLst>
          </c:dPt>
          <c:dPt>
            <c:idx val="116"/>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EF-7329-4248-9CA6-91E05B0DBE4F}"/>
              </c:ext>
            </c:extLst>
          </c:dPt>
          <c:dPt>
            <c:idx val="117"/>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F1-7329-4248-9CA6-91E05B0DBE4F}"/>
              </c:ext>
            </c:extLst>
          </c:dPt>
          <c:dPt>
            <c:idx val="118"/>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F3-7329-4248-9CA6-91E05B0DBE4F}"/>
              </c:ext>
            </c:extLst>
          </c:dPt>
          <c:dPt>
            <c:idx val="119"/>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F5-7329-4248-9CA6-91E05B0DBE4F}"/>
              </c:ext>
            </c:extLst>
          </c:dPt>
          <c:dPt>
            <c:idx val="120"/>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F7-7329-4248-9CA6-91E05B0DBE4F}"/>
              </c:ext>
            </c:extLst>
          </c:dPt>
          <c:dPt>
            <c:idx val="121"/>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F9-7329-4248-9CA6-91E05B0DBE4F}"/>
              </c:ext>
            </c:extLst>
          </c:dPt>
          <c:dPt>
            <c:idx val="122"/>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FB-7329-4248-9CA6-91E05B0DBE4F}"/>
              </c:ext>
            </c:extLst>
          </c:dPt>
          <c:dPt>
            <c:idx val="123"/>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FD-7329-4248-9CA6-91E05B0DBE4F}"/>
              </c:ext>
            </c:extLst>
          </c:dPt>
          <c:dPt>
            <c:idx val="124"/>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FF-7329-4248-9CA6-91E05B0DBE4F}"/>
              </c:ext>
            </c:extLst>
          </c:dPt>
          <c:dPt>
            <c:idx val="125"/>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101-7329-4248-9CA6-91E05B0DBE4F}"/>
              </c:ext>
            </c:extLst>
          </c:dPt>
          <c:dPt>
            <c:idx val="126"/>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103-7329-4248-9CA6-91E05B0DBE4F}"/>
              </c:ext>
            </c:extLst>
          </c:dPt>
          <c:dPt>
            <c:idx val="127"/>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105-7329-4248-9CA6-91E05B0DBE4F}"/>
              </c:ext>
            </c:extLst>
          </c:dPt>
          <c:dPt>
            <c:idx val="128"/>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107-7329-4248-9CA6-91E05B0DBE4F}"/>
              </c:ext>
            </c:extLst>
          </c:dPt>
          <c:dPt>
            <c:idx val="129"/>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109-7329-4248-9CA6-91E05B0DBE4F}"/>
              </c:ext>
            </c:extLst>
          </c:dPt>
          <c:dPt>
            <c:idx val="130"/>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10B-7329-4248-9CA6-91E05B0DBE4F}"/>
              </c:ext>
            </c:extLst>
          </c:dPt>
          <c:dPt>
            <c:idx val="131"/>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10D-7329-4248-9CA6-91E05B0DBE4F}"/>
              </c:ext>
            </c:extLst>
          </c:dPt>
          <c:dPt>
            <c:idx val="132"/>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10F-7329-4248-9CA6-91E05B0DBE4F}"/>
              </c:ext>
            </c:extLst>
          </c:dPt>
          <c:dPt>
            <c:idx val="13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111-7329-4248-9CA6-91E05B0DBE4F}"/>
              </c:ext>
            </c:extLst>
          </c:dPt>
          <c:dPt>
            <c:idx val="134"/>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113-7329-4248-9CA6-91E05B0DBE4F}"/>
              </c:ext>
            </c:extLst>
          </c:dPt>
          <c:dPt>
            <c:idx val="13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115-7329-4248-9CA6-91E05B0DBE4F}"/>
              </c:ext>
            </c:extLst>
          </c:dPt>
          <c:dPt>
            <c:idx val="136"/>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117-7329-4248-9CA6-91E05B0DBE4F}"/>
              </c:ext>
            </c:extLst>
          </c:dPt>
          <c:dPt>
            <c:idx val="13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119-7329-4248-9CA6-91E05B0DBE4F}"/>
              </c:ext>
            </c:extLst>
          </c:dPt>
          <c:dPt>
            <c:idx val="138"/>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11B-7329-4248-9CA6-91E05B0DBE4F}"/>
              </c:ext>
            </c:extLst>
          </c:dPt>
          <c:dPt>
            <c:idx val="139"/>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11D-7329-4248-9CA6-91E05B0DBE4F}"/>
              </c:ext>
            </c:extLst>
          </c:dPt>
          <c:dPt>
            <c:idx val="140"/>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11F-7329-4248-9CA6-91E05B0DBE4F}"/>
              </c:ext>
            </c:extLst>
          </c:dPt>
          <c:dPt>
            <c:idx val="141"/>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121-7329-4248-9CA6-91E05B0DBE4F}"/>
              </c:ext>
            </c:extLst>
          </c:dPt>
          <c:dPt>
            <c:idx val="142"/>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123-7329-4248-9CA6-91E05B0DBE4F}"/>
              </c:ext>
            </c:extLst>
          </c:dPt>
          <c:dLbls>
            <c:delete val="1"/>
          </c:dLbls>
          <c:cat>
            <c:strRef>
              <c:f>'Regional Overview'!$A$82:$A$84</c:f>
              <c:strCache>
                <c:ptCount val="3"/>
                <c:pt idx="0">
                  <c:v>Survey is Required</c:v>
                </c:pt>
                <c:pt idx="1">
                  <c:v>Survey is not Required</c:v>
                </c:pt>
                <c:pt idx="2">
                  <c:v>Not Sure</c:v>
                </c:pt>
              </c:strCache>
            </c:strRef>
          </c:cat>
          <c:val>
            <c:numRef>
              <c:f>'Regional Overview'!$C$8:$C$150</c:f>
              <c:numCache>
                <c:formatCode>0%</c:formatCode>
                <c:ptCount val="143"/>
                <c:pt idx="0">
                  <c:v>8.5950413223140495E-2</c:v>
                </c:pt>
                <c:pt idx="1">
                  <c:v>0.21652892561983472</c:v>
                </c:pt>
                <c:pt idx="2">
                  <c:v>3.3057851239669422E-2</c:v>
                </c:pt>
                <c:pt idx="3">
                  <c:v>6.6115702479338841E-3</c:v>
                </c:pt>
                <c:pt idx="4">
                  <c:v>5.6198347107438019E-2</c:v>
                </c:pt>
                <c:pt idx="5">
                  <c:v>0.20495867768595041</c:v>
                </c:pt>
                <c:pt idx="6">
                  <c:v>0.31735537190082647</c:v>
                </c:pt>
                <c:pt idx="7">
                  <c:v>2.9752066115702479E-2</c:v>
                </c:pt>
                <c:pt idx="8">
                  <c:v>4.9586776859504134E-2</c:v>
                </c:pt>
                <c:pt idx="11" formatCode="General">
                  <c:v>0</c:v>
                </c:pt>
                <c:pt idx="12">
                  <c:v>0.53884297520661162</c:v>
                </c:pt>
                <c:pt idx="13">
                  <c:v>0.32561983471074379</c:v>
                </c:pt>
                <c:pt idx="14">
                  <c:v>0.17851239669421487</c:v>
                </c:pt>
                <c:pt idx="15">
                  <c:v>7.1074380165289261E-2</c:v>
                </c:pt>
                <c:pt idx="16">
                  <c:v>7.1074380165289261E-2</c:v>
                </c:pt>
                <c:pt idx="17">
                  <c:v>0</c:v>
                </c:pt>
                <c:pt idx="20">
                  <c:v>0</c:v>
                </c:pt>
                <c:pt idx="21">
                  <c:v>0.92892561983471078</c:v>
                </c:pt>
                <c:pt idx="22">
                  <c:v>7.1074380165289261E-2</c:v>
                </c:pt>
                <c:pt idx="25">
                  <c:v>0</c:v>
                </c:pt>
                <c:pt idx="26">
                  <c:v>0.20661157024793389</c:v>
                </c:pt>
                <c:pt idx="27">
                  <c:v>0.43471074380165287</c:v>
                </c:pt>
                <c:pt idx="28">
                  <c:v>0.33719008264462808</c:v>
                </c:pt>
                <c:pt idx="29">
                  <c:v>2.1487603305785124E-2</c:v>
                </c:pt>
                <c:pt idx="32" formatCode="General">
                  <c:v>0</c:v>
                </c:pt>
                <c:pt idx="33">
                  <c:v>0.40330578512396692</c:v>
                </c:pt>
                <c:pt idx="34">
                  <c:v>0.32727272727272727</c:v>
                </c:pt>
                <c:pt idx="35">
                  <c:v>0.21322314049586777</c:v>
                </c:pt>
                <c:pt idx="36">
                  <c:v>3.4710743801652892E-2</c:v>
                </c:pt>
                <c:pt idx="37">
                  <c:v>1.487603305785124E-2</c:v>
                </c:pt>
                <c:pt idx="38">
                  <c:v>6.6115702479338841E-3</c:v>
                </c:pt>
                <c:pt idx="41" formatCode="General">
                  <c:v>0</c:v>
                </c:pt>
                <c:pt idx="42">
                  <c:v>0.51792078037262645</c:v>
                </c:pt>
                <c:pt idx="43">
                  <c:v>0.13966369550983157</c:v>
                </c:pt>
                <c:pt idx="44">
                  <c:v>0.24148574376475726</c:v>
                </c:pt>
                <c:pt idx="45">
                  <c:v>9.8882120676997573E-2</c:v>
                </c:pt>
                <c:pt idx="46">
                  <c:v>2.0476596757872186E-3</c:v>
                </c:pt>
                <c:pt idx="49" formatCode="General">
                  <c:v>0</c:v>
                </c:pt>
                <c:pt idx="50">
                  <c:v>5.6198347107438019E-2</c:v>
                </c:pt>
                <c:pt idx="51">
                  <c:v>8.2644628099173556E-2</c:v>
                </c:pt>
                <c:pt idx="52">
                  <c:v>8.7603305785123972E-2</c:v>
                </c:pt>
                <c:pt idx="53">
                  <c:v>8.4297520661157019E-2</c:v>
                </c:pt>
                <c:pt idx="54">
                  <c:v>8.5950413223140495E-2</c:v>
                </c:pt>
                <c:pt idx="55">
                  <c:v>3.1404958677685953E-2</c:v>
                </c:pt>
                <c:pt idx="56">
                  <c:v>2.1487603305785124E-2</c:v>
                </c:pt>
                <c:pt idx="57">
                  <c:v>1.1570247933884297E-2</c:v>
                </c:pt>
                <c:pt idx="58">
                  <c:v>1.652892561983471E-3</c:v>
                </c:pt>
                <c:pt idx="59">
                  <c:v>7.1074380165289261E-2</c:v>
                </c:pt>
                <c:pt idx="60">
                  <c:v>0.37190082644628097</c:v>
                </c:pt>
                <c:pt idx="61">
                  <c:v>9.4214876033057851E-2</c:v>
                </c:pt>
                <c:pt idx="64" formatCode="General">
                  <c:v>0</c:v>
                </c:pt>
                <c:pt idx="65">
                  <c:v>0.46280991735537191</c:v>
                </c:pt>
                <c:pt idx="66">
                  <c:v>0.21818181818181817</c:v>
                </c:pt>
                <c:pt idx="67">
                  <c:v>0.31900826446280994</c:v>
                </c:pt>
                <c:pt idx="68">
                  <c:v>0.18016528925619835</c:v>
                </c:pt>
                <c:pt idx="69">
                  <c:v>0.15537190082644628</c:v>
                </c:pt>
                <c:pt idx="70">
                  <c:v>0.21652892561983472</c:v>
                </c:pt>
                <c:pt idx="73" formatCode="General">
                  <c:v>0</c:v>
                </c:pt>
                <c:pt idx="74">
                  <c:v>0.69708737864077674</c:v>
                </c:pt>
                <c:pt idx="75">
                  <c:v>0.12038834951456311</c:v>
                </c:pt>
                <c:pt idx="76">
                  <c:v>0.18252427184466019</c:v>
                </c:pt>
              </c:numCache>
            </c:numRef>
          </c:val>
          <c:extLst>
            <c:ext xmlns:c16="http://schemas.microsoft.com/office/drawing/2014/chart" uri="{C3380CC4-5D6E-409C-BE32-E72D297353CC}">
              <c16:uniqueId val="{00000015-5602-46BF-8210-7D96372E4F13}"/>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baseline="0">
                <a:solidFill>
                  <a:schemeClr val="tx1"/>
                </a:solidFill>
              </a:rPr>
              <a:t>6a. Percent of ADUs by Affordability Level</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tx>
            <c:strRef>
              <c:f>'Regional Overview'!$C$49</c:f>
              <c:strCache>
                <c:ptCount val="1"/>
                <c:pt idx="0">
                  <c:v>Percent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3DD-41C4-BB24-E6C60BF443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3DD-41C4-BB24-E6C60BF443B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3DD-41C4-BB24-E6C60BF443B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3DD-41C4-BB24-E6C60BF443B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2-E3DD-41C4-BB24-E6C60BF443B2}"/>
              </c:ext>
            </c:extLst>
          </c:dPt>
          <c:dLbls>
            <c:dLbl>
              <c:idx val="0"/>
              <c:layout>
                <c:manualLayout>
                  <c:x val="2.4130524225012415E-2"/>
                  <c:y val="-4.2515384760795109E-3"/>
                </c:manualLayout>
              </c:layout>
              <c:tx>
                <c:rich>
                  <a:bodyPr/>
                  <a:lstStyle/>
                  <a:p>
                    <a:fld id="{3370BFBE-94F2-4629-8245-260AB47F4FC2}" type="CATEGORYNAME">
                      <a:rPr lang="en-US"/>
                      <a:pPr/>
                      <a:t>[CATEGORY NAME]</a:t>
                    </a:fld>
                    <a:r>
                      <a:rPr lang="en-US" baseline="0"/>
                      <a:t>
</a:t>
                    </a:r>
                    <a:fld id="{409525E2-CF03-42C3-939F-9840F97EA5B6}" type="VALUE">
                      <a:rPr lang="en-US" baseline="0"/>
                      <a:pPr/>
                      <a:t>[VALUE]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3DD-41C4-BB24-E6C60BF443B2}"/>
                </c:ext>
              </c:extLst>
            </c:dLbl>
            <c:dLbl>
              <c:idx val="1"/>
              <c:layout>
                <c:manualLayout>
                  <c:x val="-4.3348523423463639E-2"/>
                  <c:y val="-4.4902596910451453E-2"/>
                </c:manualLayout>
              </c:layout>
              <c:tx>
                <c:rich>
                  <a:bodyPr/>
                  <a:lstStyle/>
                  <a:p>
                    <a:fld id="{B0F17992-DD0E-4166-94F7-DE1F17CCC425}" type="CATEGORYNAME">
                      <a:rPr lang="en-US"/>
                      <a:pPr/>
                      <a:t>[CATEGORY NAME]</a:t>
                    </a:fld>
                    <a:r>
                      <a:rPr lang="en-US" baseline="0"/>
                      <a:t>
</a:t>
                    </a:r>
                    <a:fld id="{7C16D2C6-FCFB-4479-AC3D-F29830867E76}" type="VALUE">
                      <a:rPr lang="en-US" baseline="0"/>
                      <a:pPr/>
                      <a:t>[VALUE]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3DD-41C4-BB24-E6C60BF443B2}"/>
                </c:ext>
              </c:extLst>
            </c:dLbl>
            <c:dLbl>
              <c:idx val="2"/>
              <c:layout>
                <c:manualLayout>
                  <c:x val="-1.5226076470170958E-2"/>
                  <c:y val="-9.7337050613089567E-3"/>
                </c:manualLayout>
              </c:layout>
              <c:tx>
                <c:rich>
                  <a:bodyPr/>
                  <a:lstStyle/>
                  <a:p>
                    <a:fld id="{DA62F92E-8FC2-4D1C-B75E-916413AA09C9}" type="CATEGORYNAME">
                      <a:rPr lang="en-US"/>
                      <a:pPr/>
                      <a:t>[CATEGORY NAME]</a:t>
                    </a:fld>
                    <a:r>
                      <a:rPr lang="en-US" baseline="0"/>
                      <a:t>
</a:t>
                    </a:r>
                    <a:fld id="{1468249F-62D3-4FC2-8CB0-0878AB22E0E4}" type="VALUE">
                      <a:rPr lang="en-US" baseline="0"/>
                      <a:pPr/>
                      <a:t>[VALUE]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3DD-41C4-BB24-E6C60BF443B2}"/>
                </c:ext>
              </c:extLst>
            </c:dLbl>
            <c:dLbl>
              <c:idx val="3"/>
              <c:layout>
                <c:manualLayout>
                  <c:x val="-0.17098585783292958"/>
                  <c:y val="0.15618006021453218"/>
                </c:manualLayout>
              </c:layout>
              <c:tx>
                <c:rich>
                  <a:bodyPr/>
                  <a:lstStyle/>
                  <a:p>
                    <a:fld id="{83903396-7C44-4EBE-A42C-68E958D07909}" type="CATEGORYNAME">
                      <a:rPr lang="en-US"/>
                      <a:pPr/>
                      <a:t>[CATEGORY NAME]</a:t>
                    </a:fld>
                    <a:r>
                      <a:rPr lang="en-US" baseline="0"/>
                      <a:t>
</a:t>
                    </a:r>
                    <a:fld id="{4FAED712-8B9A-4406-B7FE-9FC3FE1D157F}" type="VALUE">
                      <a:rPr lang="en-US" baseline="0"/>
                      <a:pPr/>
                      <a:t>[VALUE]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E3DD-41C4-BB24-E6C60BF443B2}"/>
                </c:ext>
              </c:extLst>
            </c:dLbl>
            <c:dLbl>
              <c:idx val="4"/>
              <c:layout>
                <c:manualLayout>
                  <c:x val="-0.26077289502051032"/>
                  <c:y val="3.4463376594007458E-2"/>
                </c:manualLayout>
              </c:layout>
              <c:tx>
                <c:rich>
                  <a:bodyPr/>
                  <a:lstStyle/>
                  <a:p>
                    <a:fld id="{67F5CA4E-82AF-4837-9B29-0B5C8370A3FD}" type="CATEGORYNAME">
                      <a:rPr lang="en-US"/>
                      <a:pPr/>
                      <a:t>[CATEGORY NAME]</a:t>
                    </a:fld>
                    <a:r>
                      <a:rPr lang="en-US" baseline="0"/>
                      <a:t>
</a:t>
                    </a:r>
                    <a:fld id="{0B4BB95A-F36E-4271-A865-B866E515296D}" type="VALUE">
                      <a:rPr lang="en-US" baseline="0"/>
                      <a:pPr/>
                      <a:t>[VALUE]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E3DD-41C4-BB24-E6C60BF443B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'Regional Overview'!$A$50:$A$54</c:f>
              <c:strCache>
                <c:ptCount val="5"/>
                <c:pt idx="0">
                  <c:v>Zero Rent / Extremely Low Income Units</c:v>
                </c:pt>
                <c:pt idx="1">
                  <c:v>Very Low Income Units</c:v>
                </c:pt>
                <c:pt idx="2">
                  <c:v>Low Income Units</c:v>
                </c:pt>
                <c:pt idx="3">
                  <c:v>Moderate Income Units</c:v>
                </c:pt>
                <c:pt idx="4">
                  <c:v>Above Moderate Units</c:v>
                </c:pt>
              </c:strCache>
            </c:strRef>
          </c:cat>
          <c:val>
            <c:numRef>
              <c:f>'Regional Overview'!$C$50:$C$54</c:f>
              <c:numCache>
                <c:formatCode>0%</c:formatCode>
                <c:ptCount val="5"/>
                <c:pt idx="0">
                  <c:v>0.51792078037262645</c:v>
                </c:pt>
                <c:pt idx="1">
                  <c:v>0.13966369550983157</c:v>
                </c:pt>
                <c:pt idx="2">
                  <c:v>0.24148574376475726</c:v>
                </c:pt>
                <c:pt idx="3">
                  <c:v>9.8882120676997573E-2</c:v>
                </c:pt>
                <c:pt idx="4">
                  <c:v>2.0476596757872186E-3</c:v>
                </c:pt>
              </c:numCache>
            </c:numRef>
          </c:val>
          <c:extLst>
            <c:ext xmlns:c16="http://schemas.microsoft.com/office/drawing/2014/chart" uri="{C3380CC4-5D6E-409C-BE32-E72D297353CC}">
              <c16:uniqueId val="{00000008-E3DD-41C4-BB24-E6C60BF443B2}"/>
            </c:ext>
          </c:extLst>
        </c:ser>
        <c:ser>
          <c:idx val="1"/>
          <c:order val="1"/>
          <c:tx>
            <c:strRef>
              <c:f>'Regional Overview'!$C$33</c:f>
              <c:strCache>
                <c:ptCount val="1"/>
                <c:pt idx="0">
                  <c:v>Percent of Responses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E3DD-41C4-BB24-E6C60BF443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E3DD-41C4-BB24-E6C60BF443B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E3DD-41C4-BB24-E6C60BF443B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E3DD-41C4-BB24-E6C60BF443B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'Regional Overview'!$A$50:$A$54</c:f>
              <c:strCache>
                <c:ptCount val="5"/>
                <c:pt idx="0">
                  <c:v>Zero Rent / Extremely Low Income Units</c:v>
                </c:pt>
                <c:pt idx="1">
                  <c:v>Very Low Income Units</c:v>
                </c:pt>
                <c:pt idx="2">
                  <c:v>Low Income Units</c:v>
                </c:pt>
                <c:pt idx="3">
                  <c:v>Moderate Income Units</c:v>
                </c:pt>
                <c:pt idx="4">
                  <c:v>Above Moderate Units</c:v>
                </c:pt>
              </c:strCache>
            </c:strRef>
          </c:cat>
          <c:val>
            <c:numRef>
              <c:f>'Regional Overview'!$C$34:$C$37</c:f>
              <c:numCache>
                <c:formatCode>0%</c:formatCode>
                <c:ptCount val="4"/>
                <c:pt idx="0">
                  <c:v>0.20661157024793389</c:v>
                </c:pt>
                <c:pt idx="1">
                  <c:v>0.43471074380165287</c:v>
                </c:pt>
                <c:pt idx="2">
                  <c:v>0.33719008264462808</c:v>
                </c:pt>
                <c:pt idx="3">
                  <c:v>2.1487603305785124E-2</c:v>
                </c:pt>
              </c:numCache>
            </c:numRef>
          </c:val>
          <c:extLst>
            <c:ext xmlns:c16="http://schemas.microsoft.com/office/drawing/2014/chart" uri="{C3380CC4-5D6E-409C-BE32-E72D297353CC}">
              <c16:uniqueId val="{00000011-E3DD-41C4-BB24-E6C60BF443B2}"/>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2.xml"/><Relationship Id="rId3" Type="http://schemas.openxmlformats.org/officeDocument/2006/relationships/chart" Target="../charts/chart27.xml"/><Relationship Id="rId7" Type="http://schemas.openxmlformats.org/officeDocument/2006/relationships/chart" Target="../charts/chart31.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 Id="rId9" Type="http://schemas.openxmlformats.org/officeDocument/2006/relationships/chart" Target="../charts/chart3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drawing1.xml><?xml version="1.0" encoding="utf-8"?>
<xdr:wsDr xmlns:xdr="http://schemas.openxmlformats.org/drawingml/2006/spreadsheetDrawing" xmlns:a="http://schemas.openxmlformats.org/drawingml/2006/main">
  <xdr:twoCellAnchor>
    <xdr:from>
      <xdr:col>3</xdr:col>
      <xdr:colOff>608239</xdr:colOff>
      <xdr:row>7</xdr:row>
      <xdr:rowOff>19050</xdr:rowOff>
    </xdr:from>
    <xdr:to>
      <xdr:col>15</xdr:col>
      <xdr:colOff>0</xdr:colOff>
      <xdr:row>38</xdr:row>
      <xdr:rowOff>27214</xdr:rowOff>
    </xdr:to>
    <xdr:graphicFrame macro="">
      <xdr:nvGraphicFramePr>
        <xdr:cNvPr id="2" name="1. Responses by County" descr="Response by County">
          <a:extLst>
            <a:ext uri="{FF2B5EF4-FFF2-40B4-BE49-F238E27FC236}">
              <a16:creationId xmlns:a16="http://schemas.microsoft.com/office/drawing/2014/main" id="{3B662D52-E4A5-CED6-D2FB-3435CD575F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6</xdr:row>
      <xdr:rowOff>185209</xdr:rowOff>
    </xdr:from>
    <xdr:to>
      <xdr:col>28</xdr:col>
      <xdr:colOff>26458</xdr:colOff>
      <xdr:row>38</xdr:row>
      <xdr:rowOff>27215</xdr:rowOff>
    </xdr:to>
    <xdr:graphicFrame macro="">
      <xdr:nvGraphicFramePr>
        <xdr:cNvPr id="3" name="2. ADU Occupants" descr="ADU Size">
          <a:extLst>
            <a:ext uri="{FF2B5EF4-FFF2-40B4-BE49-F238E27FC236}">
              <a16:creationId xmlns:a16="http://schemas.microsoft.com/office/drawing/2014/main" id="{99665924-D2E8-7631-AE83-74B73753A2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15192</xdr:colOff>
      <xdr:row>40</xdr:row>
      <xdr:rowOff>9523</xdr:rowOff>
    </xdr:from>
    <xdr:to>
      <xdr:col>28</xdr:col>
      <xdr:colOff>0</xdr:colOff>
      <xdr:row>64</xdr:row>
      <xdr:rowOff>0</xdr:rowOff>
    </xdr:to>
    <xdr:graphicFrame macro="">
      <xdr:nvGraphicFramePr>
        <xdr:cNvPr id="4" name="3. ADU Size (Bedroom Count)" descr="ADU Size (Square Footage)">
          <a:extLst>
            <a:ext uri="{FF2B5EF4-FFF2-40B4-BE49-F238E27FC236}">
              <a16:creationId xmlns:a16="http://schemas.microsoft.com/office/drawing/2014/main" id="{47EAE801-47B7-8234-BC11-0B3718F894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15192</xdr:colOff>
      <xdr:row>67</xdr:row>
      <xdr:rowOff>11111</xdr:rowOff>
    </xdr:from>
    <xdr:to>
      <xdr:col>15</xdr:col>
      <xdr:colOff>27213</xdr:colOff>
      <xdr:row>94</xdr:row>
      <xdr:rowOff>13607</xdr:rowOff>
    </xdr:to>
    <xdr:graphicFrame macro="">
      <xdr:nvGraphicFramePr>
        <xdr:cNvPr id="5" name="Chart 4" descr="ADU Affordability Level at the Regional Level">
          <a:extLst>
            <a:ext uri="{FF2B5EF4-FFF2-40B4-BE49-F238E27FC236}">
              <a16:creationId xmlns:a16="http://schemas.microsoft.com/office/drawing/2014/main" id="{CAAE993B-75BE-1F2A-0296-3EE4CDC3A0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9521</xdr:colOff>
      <xdr:row>40</xdr:row>
      <xdr:rowOff>15194</xdr:rowOff>
    </xdr:from>
    <xdr:to>
      <xdr:col>15</xdr:col>
      <xdr:colOff>68032</xdr:colOff>
      <xdr:row>64</xdr:row>
      <xdr:rowOff>54428</xdr:rowOff>
    </xdr:to>
    <xdr:graphicFrame macro="">
      <xdr:nvGraphicFramePr>
        <xdr:cNvPr id="6" name="Chart 5" descr="ADU Size (bedroom count)">
          <a:extLst>
            <a:ext uri="{FF2B5EF4-FFF2-40B4-BE49-F238E27FC236}">
              <a16:creationId xmlns:a16="http://schemas.microsoft.com/office/drawing/2014/main" id="{2CC44310-F643-9762-AC22-A2E830B29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606422</xdr:colOff>
      <xdr:row>67</xdr:row>
      <xdr:rowOff>19051</xdr:rowOff>
    </xdr:from>
    <xdr:to>
      <xdr:col>30</xdr:col>
      <xdr:colOff>185737</xdr:colOff>
      <xdr:row>93</xdr:row>
      <xdr:rowOff>185209</xdr:rowOff>
    </xdr:to>
    <xdr:graphicFrame macro="">
      <xdr:nvGraphicFramePr>
        <xdr:cNvPr id="8" name="Chart 7" descr="Percent of ADUs by Rent Level at the Regional Level">
          <a:extLst>
            <a:ext uri="{FF2B5EF4-FFF2-40B4-BE49-F238E27FC236}">
              <a16:creationId xmlns:a16="http://schemas.microsoft.com/office/drawing/2014/main" id="{3A8B3740-7F0D-4523-8F0A-591AFEAA0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22754</xdr:colOff>
      <xdr:row>97</xdr:row>
      <xdr:rowOff>35983</xdr:rowOff>
    </xdr:from>
    <xdr:to>
      <xdr:col>15</xdr:col>
      <xdr:colOff>3402</xdr:colOff>
      <xdr:row>122</xdr:row>
      <xdr:rowOff>26459</xdr:rowOff>
    </xdr:to>
    <xdr:graphicFrame macro="">
      <xdr:nvGraphicFramePr>
        <xdr:cNvPr id="9" name="Chart 8" descr="Percent of tenants responsible for a variety of utilities.">
          <a:extLst>
            <a:ext uri="{FF2B5EF4-FFF2-40B4-BE49-F238E27FC236}">
              <a16:creationId xmlns:a16="http://schemas.microsoft.com/office/drawing/2014/main" id="{9C318256-5011-4576-B6C0-25F9D49350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604838</xdr:colOff>
      <xdr:row>97</xdr:row>
      <xdr:rowOff>6577</xdr:rowOff>
    </xdr:from>
    <xdr:to>
      <xdr:col>28</xdr:col>
      <xdr:colOff>27593</xdr:colOff>
      <xdr:row>121</xdr:row>
      <xdr:rowOff>137205</xdr:rowOff>
    </xdr:to>
    <xdr:graphicFrame macro="">
      <xdr:nvGraphicFramePr>
        <xdr:cNvPr id="10" name="Chart 9" descr="ADU Survey Required in Jurisidiction">
          <a:extLst>
            <a:ext uri="{FF2B5EF4-FFF2-40B4-BE49-F238E27FC236}">
              <a16:creationId xmlns:a16="http://schemas.microsoft.com/office/drawing/2014/main" id="{105A45D1-7814-4C13-B1D2-AD1F06DE77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608540</xdr:colOff>
      <xdr:row>40</xdr:row>
      <xdr:rowOff>28788</xdr:rowOff>
    </xdr:from>
    <xdr:to>
      <xdr:col>40</xdr:col>
      <xdr:colOff>489479</xdr:colOff>
      <xdr:row>64</xdr:row>
      <xdr:rowOff>52916</xdr:rowOff>
    </xdr:to>
    <xdr:graphicFrame macro="">
      <xdr:nvGraphicFramePr>
        <xdr:cNvPr id="12" name="Chart 11" descr="ADU Size (bedroom count)">
          <a:extLst>
            <a:ext uri="{FF2B5EF4-FFF2-40B4-BE49-F238E27FC236}">
              <a16:creationId xmlns:a16="http://schemas.microsoft.com/office/drawing/2014/main" id="{0EC3AE5A-D5C1-41B3-9C39-E87E2C19B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29</xdr:col>
      <xdr:colOff>13230</xdr:colOff>
      <xdr:row>7</xdr:row>
      <xdr:rowOff>0</xdr:rowOff>
    </xdr:from>
    <xdr:to>
      <xdr:col>40</xdr:col>
      <xdr:colOff>370416</xdr:colOff>
      <xdr:row>37</xdr:row>
      <xdr:rowOff>171979</xdr:rowOff>
    </xdr:to>
    <xdr:graphicFrame macro="">
      <xdr:nvGraphicFramePr>
        <xdr:cNvPr id="11" name="Chart 10" descr="ADU Size (bedroom count)">
          <a:extLst>
            <a:ext uri="{FF2B5EF4-FFF2-40B4-BE49-F238E27FC236}">
              <a16:creationId xmlns:a16="http://schemas.microsoft.com/office/drawing/2014/main" id="{8516212B-58C2-42BB-BF24-14FADB13C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9523</xdr:colOff>
      <xdr:row>10</xdr:row>
      <xdr:rowOff>13229</xdr:rowOff>
    </xdr:from>
    <xdr:to>
      <xdr:col>14</xdr:col>
      <xdr:colOff>595313</xdr:colOff>
      <xdr:row>35</xdr:row>
      <xdr:rowOff>0</xdr:rowOff>
    </xdr:to>
    <xdr:graphicFrame macro="">
      <xdr:nvGraphicFramePr>
        <xdr:cNvPr id="3" name="2. ADU Occupants" descr="ADU Size">
          <a:extLst>
            <a:ext uri="{FF2B5EF4-FFF2-40B4-BE49-F238E27FC236}">
              <a16:creationId xmlns:a16="http://schemas.microsoft.com/office/drawing/2014/main" id="{46BAAA34-4F64-4BB4-A62E-BE7422E566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68110</xdr:colOff>
      <xdr:row>39</xdr:row>
      <xdr:rowOff>9522</xdr:rowOff>
    </xdr:from>
    <xdr:to>
      <xdr:col>14</xdr:col>
      <xdr:colOff>582084</xdr:colOff>
      <xdr:row>65</xdr:row>
      <xdr:rowOff>185209</xdr:rowOff>
    </xdr:to>
    <xdr:graphicFrame macro="">
      <xdr:nvGraphicFramePr>
        <xdr:cNvPr id="4" name="3. ADU Size (Bedroom Count)" descr="ADU Size (Square Footage)">
          <a:extLst>
            <a:ext uri="{FF2B5EF4-FFF2-40B4-BE49-F238E27FC236}">
              <a16:creationId xmlns:a16="http://schemas.microsoft.com/office/drawing/2014/main" id="{CE1AF859-189A-4C81-BF48-DE34F009E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15191</xdr:colOff>
      <xdr:row>38</xdr:row>
      <xdr:rowOff>196321</xdr:rowOff>
    </xdr:from>
    <xdr:to>
      <xdr:col>41</xdr:col>
      <xdr:colOff>26459</xdr:colOff>
      <xdr:row>66</xdr:row>
      <xdr:rowOff>0</xdr:rowOff>
    </xdr:to>
    <xdr:graphicFrame macro="">
      <xdr:nvGraphicFramePr>
        <xdr:cNvPr id="5" name="Chart 4" descr="ADU Affordability Level at the Regional Level">
          <a:extLst>
            <a:ext uri="{FF2B5EF4-FFF2-40B4-BE49-F238E27FC236}">
              <a16:creationId xmlns:a16="http://schemas.microsoft.com/office/drawing/2014/main" id="{156ED352-BB67-4ED6-BDAD-21E6763CB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22751</xdr:colOff>
      <xdr:row>10</xdr:row>
      <xdr:rowOff>15194</xdr:rowOff>
    </xdr:from>
    <xdr:to>
      <xdr:col>39</xdr:col>
      <xdr:colOff>39689</xdr:colOff>
      <xdr:row>35</xdr:row>
      <xdr:rowOff>0</xdr:rowOff>
    </xdr:to>
    <xdr:graphicFrame macro="">
      <xdr:nvGraphicFramePr>
        <xdr:cNvPr id="6" name="Chart 5" descr="ADU Size (bedroom count)">
          <a:extLst>
            <a:ext uri="{FF2B5EF4-FFF2-40B4-BE49-F238E27FC236}">
              <a16:creationId xmlns:a16="http://schemas.microsoft.com/office/drawing/2014/main" id="{90F3FCDA-FFD0-478E-A3BA-124FEC486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9522</xdr:colOff>
      <xdr:row>69</xdr:row>
      <xdr:rowOff>19051</xdr:rowOff>
    </xdr:from>
    <xdr:to>
      <xdr:col>17</xdr:col>
      <xdr:colOff>595313</xdr:colOff>
      <xdr:row>105</xdr:row>
      <xdr:rowOff>0</xdr:rowOff>
    </xdr:to>
    <xdr:graphicFrame macro="">
      <xdr:nvGraphicFramePr>
        <xdr:cNvPr id="8" name="Chart 7" descr="Percent of ADUs by Rent Level at the Regional Level">
          <a:extLst>
            <a:ext uri="{FF2B5EF4-FFF2-40B4-BE49-F238E27FC236}">
              <a16:creationId xmlns:a16="http://schemas.microsoft.com/office/drawing/2014/main" id="{F07C1C84-6976-440C-95D3-777964BB9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9524</xdr:colOff>
      <xdr:row>69</xdr:row>
      <xdr:rowOff>35981</xdr:rowOff>
    </xdr:from>
    <xdr:to>
      <xdr:col>36</xdr:col>
      <xdr:colOff>568854</xdr:colOff>
      <xdr:row>105</xdr:row>
      <xdr:rowOff>26458</xdr:rowOff>
    </xdr:to>
    <xdr:graphicFrame macro="">
      <xdr:nvGraphicFramePr>
        <xdr:cNvPr id="9" name="Chart 8" descr="Percent of tenants responsible for a variety of utilities.">
          <a:extLst>
            <a:ext uri="{FF2B5EF4-FFF2-40B4-BE49-F238E27FC236}">
              <a16:creationId xmlns:a16="http://schemas.microsoft.com/office/drawing/2014/main" id="{CEB1D5DE-14DB-445D-9748-BD4D23BAA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13227</xdr:colOff>
      <xdr:row>39</xdr:row>
      <xdr:rowOff>15558</xdr:rowOff>
    </xdr:from>
    <xdr:to>
      <xdr:col>27</xdr:col>
      <xdr:colOff>0</xdr:colOff>
      <xdr:row>65</xdr:row>
      <xdr:rowOff>185209</xdr:rowOff>
    </xdr:to>
    <xdr:graphicFrame macro="">
      <xdr:nvGraphicFramePr>
        <xdr:cNvPr id="11" name="Chart 10" descr="ADU Size (bedroom count)">
          <a:extLst>
            <a:ext uri="{FF2B5EF4-FFF2-40B4-BE49-F238E27FC236}">
              <a16:creationId xmlns:a16="http://schemas.microsoft.com/office/drawing/2014/main" id="{5023788B-5058-4C2F-81E1-822B21762A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595313</xdr:colOff>
      <xdr:row>10</xdr:row>
      <xdr:rowOff>0</xdr:rowOff>
    </xdr:from>
    <xdr:to>
      <xdr:col>26</xdr:col>
      <xdr:colOff>568855</xdr:colOff>
      <xdr:row>34</xdr:row>
      <xdr:rowOff>171979</xdr:rowOff>
    </xdr:to>
    <xdr:graphicFrame macro="">
      <xdr:nvGraphicFramePr>
        <xdr:cNvPr id="12" name="Chart 11" descr="ADU Size (bedroom count)">
          <a:extLst>
            <a:ext uri="{FF2B5EF4-FFF2-40B4-BE49-F238E27FC236}">
              <a16:creationId xmlns:a16="http://schemas.microsoft.com/office/drawing/2014/main" id="{16DA3B5B-110C-4551-83FC-3B8D644481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9523</xdr:colOff>
      <xdr:row>10</xdr:row>
      <xdr:rowOff>13229</xdr:rowOff>
    </xdr:from>
    <xdr:to>
      <xdr:col>14</xdr:col>
      <xdr:colOff>595313</xdr:colOff>
      <xdr:row>35</xdr:row>
      <xdr:rowOff>0</xdr:rowOff>
    </xdr:to>
    <xdr:graphicFrame macro="">
      <xdr:nvGraphicFramePr>
        <xdr:cNvPr id="2" name="2. ADU Occupants" descr="ADU Size">
          <a:extLst>
            <a:ext uri="{FF2B5EF4-FFF2-40B4-BE49-F238E27FC236}">
              <a16:creationId xmlns:a16="http://schemas.microsoft.com/office/drawing/2014/main" id="{27C9B37A-8A36-4E67-922D-5E30E1E5B9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15193</xdr:colOff>
      <xdr:row>39</xdr:row>
      <xdr:rowOff>9522</xdr:rowOff>
    </xdr:from>
    <xdr:to>
      <xdr:col>14</xdr:col>
      <xdr:colOff>595313</xdr:colOff>
      <xdr:row>67</xdr:row>
      <xdr:rowOff>152400</xdr:rowOff>
    </xdr:to>
    <xdr:graphicFrame macro="">
      <xdr:nvGraphicFramePr>
        <xdr:cNvPr id="3" name="3. ADU Size (Bedroom Count)" descr="ADU Size (Square Footage)">
          <a:extLst>
            <a:ext uri="{FF2B5EF4-FFF2-40B4-BE49-F238E27FC236}">
              <a16:creationId xmlns:a16="http://schemas.microsoft.com/office/drawing/2014/main" id="{F20348A4-1ED0-43B5-85B4-0F040019C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22751</xdr:colOff>
      <xdr:row>10</xdr:row>
      <xdr:rowOff>15194</xdr:rowOff>
    </xdr:from>
    <xdr:to>
      <xdr:col>39</xdr:col>
      <xdr:colOff>39689</xdr:colOff>
      <xdr:row>35</xdr:row>
      <xdr:rowOff>0</xdr:rowOff>
    </xdr:to>
    <xdr:graphicFrame macro="">
      <xdr:nvGraphicFramePr>
        <xdr:cNvPr id="5" name="Chart 4" descr="ADU Size (bedroom count)">
          <a:extLst>
            <a:ext uri="{FF2B5EF4-FFF2-40B4-BE49-F238E27FC236}">
              <a16:creationId xmlns:a16="http://schemas.microsoft.com/office/drawing/2014/main" id="{DC062B6B-77EA-4EB9-BB8E-4556126C7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9521</xdr:colOff>
      <xdr:row>39</xdr:row>
      <xdr:rowOff>45509</xdr:rowOff>
    </xdr:from>
    <xdr:to>
      <xdr:col>31</xdr:col>
      <xdr:colOff>152400</xdr:colOff>
      <xdr:row>73</xdr:row>
      <xdr:rowOff>92604</xdr:rowOff>
    </xdr:to>
    <xdr:graphicFrame macro="">
      <xdr:nvGraphicFramePr>
        <xdr:cNvPr id="6" name="Chart 5" descr="Percent of ADUs by Rent Level at the Regional Level">
          <a:extLst>
            <a:ext uri="{FF2B5EF4-FFF2-40B4-BE49-F238E27FC236}">
              <a16:creationId xmlns:a16="http://schemas.microsoft.com/office/drawing/2014/main" id="{592D3E2D-F1E3-4AFE-9D97-D99B385E86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9524</xdr:colOff>
      <xdr:row>39</xdr:row>
      <xdr:rowOff>35983</xdr:rowOff>
    </xdr:from>
    <xdr:to>
      <xdr:col>45</xdr:col>
      <xdr:colOff>502707</xdr:colOff>
      <xdr:row>71</xdr:row>
      <xdr:rowOff>132292</xdr:rowOff>
    </xdr:to>
    <xdr:graphicFrame macro="">
      <xdr:nvGraphicFramePr>
        <xdr:cNvPr id="7" name="Chart 6" descr="Percent of tenants responsible for a variety of utilities.">
          <a:extLst>
            <a:ext uri="{FF2B5EF4-FFF2-40B4-BE49-F238E27FC236}">
              <a16:creationId xmlns:a16="http://schemas.microsoft.com/office/drawing/2014/main" id="{77526A6F-9706-4944-A7D1-8FECEDECBA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595313</xdr:colOff>
      <xdr:row>10</xdr:row>
      <xdr:rowOff>0</xdr:rowOff>
    </xdr:from>
    <xdr:to>
      <xdr:col>26</xdr:col>
      <xdr:colOff>568855</xdr:colOff>
      <xdr:row>34</xdr:row>
      <xdr:rowOff>171979</xdr:rowOff>
    </xdr:to>
    <xdr:graphicFrame macro="">
      <xdr:nvGraphicFramePr>
        <xdr:cNvPr id="9" name="Chart 8" descr="ADU Size (bedroom count)">
          <a:extLst>
            <a:ext uri="{FF2B5EF4-FFF2-40B4-BE49-F238E27FC236}">
              <a16:creationId xmlns:a16="http://schemas.microsoft.com/office/drawing/2014/main" id="{944C1439-E88F-49E8-8367-52B71BF3FD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11112</xdr:colOff>
      <xdr:row>5</xdr:row>
      <xdr:rowOff>19050</xdr:rowOff>
    </xdr:from>
    <xdr:to>
      <xdr:col>12</xdr:col>
      <xdr:colOff>600075</xdr:colOff>
      <xdr:row>26</xdr:row>
      <xdr:rowOff>228600</xdr:rowOff>
    </xdr:to>
    <xdr:graphicFrame macro="">
      <xdr:nvGraphicFramePr>
        <xdr:cNvPr id="5" name="Chart 4" descr="Percent of Affordable ADUs by Income Level in Alameda County">
          <a:extLst>
            <a:ext uri="{FF2B5EF4-FFF2-40B4-BE49-F238E27FC236}">
              <a16:creationId xmlns:a16="http://schemas.microsoft.com/office/drawing/2014/main" id="{DBD86BC9-49E2-426B-9E38-D9B7CF7C0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9525</xdr:colOff>
      <xdr:row>4</xdr:row>
      <xdr:rowOff>200024</xdr:rowOff>
    </xdr:from>
    <xdr:to>
      <xdr:col>21</xdr:col>
      <xdr:colOff>590550</xdr:colOff>
      <xdr:row>26</xdr:row>
      <xdr:rowOff>219074</xdr:rowOff>
    </xdr:to>
    <xdr:graphicFrame macro="">
      <xdr:nvGraphicFramePr>
        <xdr:cNvPr id="8" name="Chart 7" descr="Percent of Affordable ADUs by Income Level in Contra Costa County">
          <a:extLst>
            <a:ext uri="{FF2B5EF4-FFF2-40B4-BE49-F238E27FC236}">
              <a16:creationId xmlns:a16="http://schemas.microsoft.com/office/drawing/2014/main" id="{645FEE87-6893-432D-9FF7-667556650C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0</xdr:colOff>
      <xdr:row>5</xdr:row>
      <xdr:rowOff>28574</xdr:rowOff>
    </xdr:from>
    <xdr:to>
      <xdr:col>32</xdr:col>
      <xdr:colOff>495300</xdr:colOff>
      <xdr:row>27</xdr:row>
      <xdr:rowOff>0</xdr:rowOff>
    </xdr:to>
    <xdr:graphicFrame macro="">
      <xdr:nvGraphicFramePr>
        <xdr:cNvPr id="9" name="Chart 8" descr="Percent of Affordable ADUs by Income Level in Marin County">
          <a:extLst>
            <a:ext uri="{FF2B5EF4-FFF2-40B4-BE49-F238E27FC236}">
              <a16:creationId xmlns:a16="http://schemas.microsoft.com/office/drawing/2014/main" id="{205CEC35-960F-4362-8EB3-57DB8F1405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1381124</xdr:colOff>
      <xdr:row>29</xdr:row>
      <xdr:rowOff>38100</xdr:rowOff>
    </xdr:from>
    <xdr:to>
      <xdr:col>13</xdr:col>
      <xdr:colOff>38099</xdr:colOff>
      <xdr:row>51</xdr:row>
      <xdr:rowOff>19050</xdr:rowOff>
    </xdr:to>
    <xdr:graphicFrame macro="">
      <xdr:nvGraphicFramePr>
        <xdr:cNvPr id="10" name="Chart 9" descr="Percent of Affordable ADUs by Income Level in Napa County">
          <a:extLst>
            <a:ext uri="{FF2B5EF4-FFF2-40B4-BE49-F238E27FC236}">
              <a16:creationId xmlns:a16="http://schemas.microsoft.com/office/drawing/2014/main" id="{E8DD40B2-FFEE-4FCE-81AA-FE3D067B7F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19050</xdr:colOff>
      <xdr:row>29</xdr:row>
      <xdr:rowOff>19050</xdr:rowOff>
    </xdr:from>
    <xdr:to>
      <xdr:col>33</xdr:col>
      <xdr:colOff>0</xdr:colOff>
      <xdr:row>50</xdr:row>
      <xdr:rowOff>190500</xdr:rowOff>
    </xdr:to>
    <xdr:graphicFrame macro="">
      <xdr:nvGraphicFramePr>
        <xdr:cNvPr id="11" name="Chart 10" descr="Percent of Affordable ADUs by Income Level in San Mateo County">
          <a:extLst>
            <a:ext uri="{FF2B5EF4-FFF2-40B4-BE49-F238E27FC236}">
              <a16:creationId xmlns:a16="http://schemas.microsoft.com/office/drawing/2014/main" id="{2869A1D2-04A6-4F05-934F-DCC99C5DB2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1381125</xdr:colOff>
      <xdr:row>53</xdr:row>
      <xdr:rowOff>28575</xdr:rowOff>
    </xdr:from>
    <xdr:to>
      <xdr:col>12</xdr:col>
      <xdr:colOff>608013</xdr:colOff>
      <xdr:row>76</xdr:row>
      <xdr:rowOff>171450</xdr:rowOff>
    </xdr:to>
    <xdr:graphicFrame macro="">
      <xdr:nvGraphicFramePr>
        <xdr:cNvPr id="12" name="Chart 11" descr="Percent of Affordable ADUs by Income Level in Santa Clara County">
          <a:extLst>
            <a:ext uri="{FF2B5EF4-FFF2-40B4-BE49-F238E27FC236}">
              <a16:creationId xmlns:a16="http://schemas.microsoft.com/office/drawing/2014/main" id="{8EFF51FA-DB00-470D-B268-D1CE3E4FDD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xdr:colOff>
      <xdr:row>53</xdr:row>
      <xdr:rowOff>57150</xdr:rowOff>
    </xdr:from>
    <xdr:to>
      <xdr:col>22</xdr:col>
      <xdr:colOff>17463</xdr:colOff>
      <xdr:row>76</xdr:row>
      <xdr:rowOff>38100</xdr:rowOff>
    </xdr:to>
    <xdr:graphicFrame macro="">
      <xdr:nvGraphicFramePr>
        <xdr:cNvPr id="13" name="Chart 12" descr="Percent of Affordable ADUs by Income Level in Solano County">
          <a:extLst>
            <a:ext uri="{FF2B5EF4-FFF2-40B4-BE49-F238E27FC236}">
              <a16:creationId xmlns:a16="http://schemas.microsoft.com/office/drawing/2014/main" id="{A6625673-AE8B-4DD9-93F5-74BCDCBD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561975</xdr:colOff>
      <xdr:row>53</xdr:row>
      <xdr:rowOff>47624</xdr:rowOff>
    </xdr:from>
    <xdr:to>
      <xdr:col>31</xdr:col>
      <xdr:colOff>569913</xdr:colOff>
      <xdr:row>76</xdr:row>
      <xdr:rowOff>57149</xdr:rowOff>
    </xdr:to>
    <xdr:graphicFrame macro="">
      <xdr:nvGraphicFramePr>
        <xdr:cNvPr id="15" name="Chart 14" descr="Percent of Affordable ADUs by Income Level in Sonoma County">
          <a:extLst>
            <a:ext uri="{FF2B5EF4-FFF2-40B4-BE49-F238E27FC236}">
              <a16:creationId xmlns:a16="http://schemas.microsoft.com/office/drawing/2014/main" id="{DAD4E205-726A-4F03-9BC8-983FD5F4C3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19050</xdr:colOff>
      <xdr:row>28</xdr:row>
      <xdr:rowOff>200025</xdr:rowOff>
    </xdr:from>
    <xdr:to>
      <xdr:col>22</xdr:col>
      <xdr:colOff>190500</xdr:colOff>
      <xdr:row>50</xdr:row>
      <xdr:rowOff>152400</xdr:rowOff>
    </xdr:to>
    <xdr:graphicFrame macro="">
      <xdr:nvGraphicFramePr>
        <xdr:cNvPr id="2" name="Chart 1" descr="Percent of Affordable ADUs by Income Level in Napa County">
          <a:extLst>
            <a:ext uri="{FF2B5EF4-FFF2-40B4-BE49-F238E27FC236}">
              <a16:creationId xmlns:a16="http://schemas.microsoft.com/office/drawing/2014/main" id="{0215EFE1-1C29-4506-8DD3-EAA5BF544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9523</xdr:colOff>
      <xdr:row>4</xdr:row>
      <xdr:rowOff>9525</xdr:rowOff>
    </xdr:from>
    <xdr:to>
      <xdr:col>14</xdr:col>
      <xdr:colOff>9524</xdr:colOff>
      <xdr:row>25</xdr:row>
      <xdr:rowOff>0</xdr:rowOff>
    </xdr:to>
    <xdr:graphicFrame macro="">
      <xdr:nvGraphicFramePr>
        <xdr:cNvPr id="2" name="Chart 1" descr="Percentage of survey takers who answered demographic data questions.">
          <a:extLst>
            <a:ext uri="{FF2B5EF4-FFF2-40B4-BE49-F238E27FC236}">
              <a16:creationId xmlns:a16="http://schemas.microsoft.com/office/drawing/2014/main" id="{4BB2772B-7C98-4C5D-B298-B0A605425F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19048</xdr:colOff>
      <xdr:row>4</xdr:row>
      <xdr:rowOff>9525</xdr:rowOff>
    </xdr:from>
    <xdr:to>
      <xdr:col>23</xdr:col>
      <xdr:colOff>571499</xdr:colOff>
      <xdr:row>25</xdr:row>
      <xdr:rowOff>0</xdr:rowOff>
    </xdr:to>
    <xdr:graphicFrame macro="">
      <xdr:nvGraphicFramePr>
        <xdr:cNvPr id="5" name="Chart 4" descr="Age makeup of the survey takers who answered demographic data questions.">
          <a:extLst>
            <a:ext uri="{FF2B5EF4-FFF2-40B4-BE49-F238E27FC236}">
              <a16:creationId xmlns:a16="http://schemas.microsoft.com/office/drawing/2014/main" id="{119EC7C1-326D-48DC-AD44-E7AD23C64C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22223</xdr:colOff>
      <xdr:row>27</xdr:row>
      <xdr:rowOff>15873</xdr:rowOff>
    </xdr:from>
    <xdr:to>
      <xdr:col>18</xdr:col>
      <xdr:colOff>127000</xdr:colOff>
      <xdr:row>51</xdr:row>
      <xdr:rowOff>15874</xdr:rowOff>
    </xdr:to>
    <xdr:graphicFrame macro="">
      <xdr:nvGraphicFramePr>
        <xdr:cNvPr id="7" name="Chart 6" descr="Race/ethnicity makeup of the survey takers who answered demographic data questions.">
          <a:extLst>
            <a:ext uri="{FF2B5EF4-FFF2-40B4-BE49-F238E27FC236}">
              <a16:creationId xmlns:a16="http://schemas.microsoft.com/office/drawing/2014/main" id="{A991181E-6F4B-40C0-BFE2-73B1A0B811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6349</xdr:colOff>
      <xdr:row>27</xdr:row>
      <xdr:rowOff>38100</xdr:rowOff>
    </xdr:from>
    <xdr:to>
      <xdr:col>29</xdr:col>
      <xdr:colOff>523874</xdr:colOff>
      <xdr:row>50</xdr:row>
      <xdr:rowOff>158749</xdr:rowOff>
    </xdr:to>
    <xdr:graphicFrame macro="">
      <xdr:nvGraphicFramePr>
        <xdr:cNvPr id="8" name="Chart 7" descr="Language(s) spoken at the home's of survey takers who answered demographic data questions.">
          <a:extLst>
            <a:ext uri="{FF2B5EF4-FFF2-40B4-BE49-F238E27FC236}">
              <a16:creationId xmlns:a16="http://schemas.microsoft.com/office/drawing/2014/main" id="{E2D67CB8-0852-4214-B137-B8186095E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571501</xdr:colOff>
      <xdr:row>54</xdr:row>
      <xdr:rowOff>34924</xdr:rowOff>
    </xdr:from>
    <xdr:to>
      <xdr:col>17</xdr:col>
      <xdr:colOff>15875</xdr:colOff>
      <xdr:row>80</xdr:row>
      <xdr:rowOff>190499</xdr:rowOff>
    </xdr:to>
    <xdr:graphicFrame macro="">
      <xdr:nvGraphicFramePr>
        <xdr:cNvPr id="9" name="Chart 8" descr="Household size of the survey takers who answered demographic data questions.">
          <a:extLst>
            <a:ext uri="{FF2B5EF4-FFF2-40B4-BE49-F238E27FC236}">
              <a16:creationId xmlns:a16="http://schemas.microsoft.com/office/drawing/2014/main" id="{A46FAB82-FACF-4C1C-848D-0489E585D8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15875</xdr:colOff>
      <xdr:row>54</xdr:row>
      <xdr:rowOff>15875</xdr:rowOff>
    </xdr:from>
    <xdr:to>
      <xdr:col>31</xdr:col>
      <xdr:colOff>63499</xdr:colOff>
      <xdr:row>80</xdr:row>
      <xdr:rowOff>171450</xdr:rowOff>
    </xdr:to>
    <xdr:graphicFrame macro="">
      <xdr:nvGraphicFramePr>
        <xdr:cNvPr id="6" name="Chart 5" descr="Household income of the survey takers who answered demographic data questions.">
          <a:extLst>
            <a:ext uri="{FF2B5EF4-FFF2-40B4-BE49-F238E27FC236}">
              <a16:creationId xmlns:a16="http://schemas.microsoft.com/office/drawing/2014/main" id="{259C5C74-B06B-40DC-8799-12B2A9F66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675364C-D080-4264-AD16-4A2E5C2A3DC5}" name="Table8" displayName="Table8" ref="A7:C16" totalsRowShown="0" headerRowDxfId="152" dataDxfId="151">
  <autoFilter ref="A7:C16" xr:uid="{D675364C-D080-4264-AD16-4A2E5C2A3DC5}"/>
  <sortState xmlns:xlrd2="http://schemas.microsoft.com/office/spreadsheetml/2017/richdata2" ref="A8:C16">
    <sortCondition ref="A7:A16"/>
  </sortState>
  <tableColumns count="3">
    <tableColumn id="1" xr3:uid="{0D3551EE-1FD7-490B-9C69-32BC296628A0}" name="County" dataDxfId="150"/>
    <tableColumn id="2" xr3:uid="{CEE629A2-8E19-4C7F-B5CE-CB32B7297965}" name="Responses by Location" dataDxfId="149"/>
    <tableColumn id="3" xr3:uid="{282D585B-8B78-4D9D-8ABB-714013572ED7}" name="Percent of Responses" dataDxfId="148" dataCellStyle="Percent">
      <calculatedColumnFormula>B8/SUM(Table8[Responses by Location])</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DE4A9DF-4AB7-4548-907C-A68A396B5194}" name="Table917" displayName="Table917" ref="A10:C15" totalsRowShown="0" headerRowDxfId="107" dataDxfId="106">
  <autoFilter ref="A10:C15" xr:uid="{6D1130BC-A51F-4A34-B86F-24AFFBB2CC78}"/>
  <sortState xmlns:xlrd2="http://schemas.microsoft.com/office/spreadsheetml/2017/richdata2" ref="A11:C14">
    <sortCondition descending="1" ref="C10:C14"/>
  </sortState>
  <tableColumns count="3">
    <tableColumn id="1" xr3:uid="{2D1A8CD3-1C4E-47A9-BAFF-2DDA39120FC5}" name="Occupant(s)" dataDxfId="105"/>
    <tableColumn id="2" xr3:uid="{43D7C365-BCA6-4299-8078-D589A36EAED0}" name="Responses" dataDxfId="104"/>
    <tableColumn id="3" xr3:uid="{B0E9A89F-F0BC-46CF-BBE3-CDE81F7D639C}" name="Percent of Responses" dataDxfId="103" dataCellStyle="Percent">
      <calculatedColumnFormula>B11/B$7</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A1C12AB-901E-436B-B6D3-583FDA1572F1}" name="Table1018" displayName="Table1018" ref="A30:C36" totalsRowShown="0" headerRowDxfId="102" dataDxfId="101">
  <autoFilter ref="A30:C36" xr:uid="{72718187-D4DE-48EB-BB37-81DB6576AFF6}"/>
  <tableColumns count="3">
    <tableColumn id="1" xr3:uid="{B7FA1808-5E14-465F-8CFB-803CEFF88560}" name="ADU Size" dataDxfId="100"/>
    <tableColumn id="2" xr3:uid="{E19C9DD3-9E10-4392-A971-7B3397038BC4}" name="Count of Responses" dataDxfId="99"/>
    <tableColumn id="3" xr3:uid="{CA41AD3B-71EB-45E5-94E9-C9EB54A276A5}" name="Percent of Responses" dataDxfId="98" dataCellStyle="Percent">
      <calculatedColumnFormula>B31/SUM(Table1018[Count of Responses])</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8DDAB911-66EB-4404-A16B-D5574EB0A105}" name="Table1132" displayName="Table1132" ref="A39:C44" totalsRowShown="0" headerRowDxfId="97" dataDxfId="96">
  <autoFilter ref="A39:C44" xr:uid="{CFBF15E2-7562-4C22-8F22-F6418D740B3B}"/>
  <tableColumns count="3">
    <tableColumn id="1" xr3:uid="{1F05835C-2BF8-4994-8141-DF6DDF210CC1}" name="ADU Affordability Level" dataDxfId="95"/>
    <tableColumn id="2" xr3:uid="{13393B52-7D3A-45FA-8F67-563D360989A8}" name="Count of Units" dataDxfId="94">
      <calculatedColumnFormula>SUMIFS(Table37[[#All],[Count of Units]],Table37[[#All],[County]],'County Overview'!A$5,Table37[[#All],[Affordability Level]],Table1132[[#This Row],[ADU Affordability Level]])</calculatedColumnFormula>
    </tableColumn>
    <tableColumn id="3" xr3:uid="{05926A68-A325-4A22-B350-0B0A2A09419F}" name="Percent" dataDxfId="93" dataCellStyle="Percent">
      <calculatedColumnFormula>Table1132[[#This Row],[Count of Units]]/SUM(Table1132[Count of Units])</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93980A41-2201-49D8-885A-D26EE4FC2E97}" name="Table10335" displayName="Table10335" ref="A47:C59" totalsRowShown="0" headerRowDxfId="92" dataDxfId="91">
  <autoFilter ref="A47:C59" xr:uid="{514F6BA9-F0FF-4C4B-B579-7CE48DCE30BA}"/>
  <tableColumns count="3">
    <tableColumn id="1" xr3:uid="{FFBEABBD-451D-45EE-932C-FD6BE0920737}" name="ADU Rent Category" dataDxfId="90"/>
    <tableColumn id="2" xr3:uid="{9D6CF2F6-E47B-4918-B97A-50E26F65F3AC}" name="Count of Responses" dataDxfId="89">
      <calculatedColumnFormula>COUNTIFS('ADU Homeowner Survey 2025'!R:R,"&gt;=500",'ADU Homeowner Survey 2025'!R:R,"&lt;=1000")</calculatedColumnFormula>
    </tableColumn>
    <tableColumn id="3" xr3:uid="{03ADC75E-B52C-440A-908D-BC71F6D559C4}" name="Percent of Responses" dataDxfId="88" dataCellStyle="Percent">
      <calculatedColumnFormula>B48/SUM(Table10335[Count of Responses])</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18E2FC70-DC67-482B-925F-794A7ABD2EE6}" name="Table1336" displayName="Table1336" ref="A62:C68" totalsRowShown="0" headerRowDxfId="87" dataDxfId="86">
  <autoFilter ref="A62:C68" xr:uid="{02DB22D0-DA31-4B9F-A87F-BE60B4050E17}"/>
  <sortState xmlns:xlrd2="http://schemas.microsoft.com/office/spreadsheetml/2017/richdata2" ref="A63:C68">
    <sortCondition descending="1" ref="C62:C68"/>
  </sortState>
  <tableColumns count="3">
    <tableColumn id="1" xr3:uid="{C573670A-F8F7-4191-B77D-5FF44B253B52}" name="Utility" dataDxfId="85"/>
    <tableColumn id="2" xr3:uid="{303A3A33-B583-42BC-AB0C-CD36836BCCD9}" name="Count of Responses" dataDxfId="84"/>
    <tableColumn id="3" xr3:uid="{E7D9A5BB-96D5-46EF-8173-8E6C256BE05C}" name="Percent of Responses" dataDxfId="83" dataCellStyle="Percent">
      <calculatedColumnFormula>Table1336[[#This Row],[Count of Responses]]/B$7</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FF477C07-1DEC-4CE0-8C51-D945364BA719}" name="Table1434" displayName="Table1434" ref="A23:C27" totalsRowShown="0" headerRowDxfId="82" dataDxfId="81">
  <autoFilter ref="A23:C27" xr:uid="{91E2D1ED-F7EB-4C1D-9AFA-5085F814558F}"/>
  <tableColumns count="3">
    <tableColumn id="1" xr3:uid="{7F264F95-1855-4D2F-B73E-634FAEEA194C}" name="Bedroom Count" dataDxfId="80"/>
    <tableColumn id="2" xr3:uid="{ED69B33C-2B0E-4149-8BCE-CD005B6B8E97}" name="Count of Responses" dataDxfId="79">
      <calculatedColumnFormula>COUNTIFS('ADU Homeowner Survey 2025'!B:B,'County Overview'!A$5,'ADU Homeowner Survey 2025'!Q:Q,"0 (studio)")</calculatedColumnFormula>
    </tableColumn>
    <tableColumn id="3" xr3:uid="{4F5114E3-BE70-41AE-90C7-AE1F7720830E}" name="Percent of Responses" dataDxfId="78" dataCellStyle="Percent">
      <calculatedColumnFormula>B24/SUM(Table1434[Count of Responses])</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85E3678D-50FE-4B7E-B181-9A531D5E2586}" name="Table143442" displayName="Table143442" ref="A18:C20" totalsRowShown="0" headerRowDxfId="77" dataDxfId="76">
  <autoFilter ref="A18:C20" xr:uid="{85E3678D-50FE-4B7E-B181-9A531D5E2586}"/>
  <tableColumns count="3">
    <tableColumn id="1" xr3:uid="{1512D7D0-951E-4D39-8CA1-EE8B4ABA01AC}" name="Is there a planned residential use for the ADU?" dataDxfId="75"/>
    <tableColumn id="2" xr3:uid="{910BDF8B-2077-4BEA-BFF3-13F2749EF144}" name="Count of Responses" dataDxfId="74">
      <calculatedColumnFormula>COUNTIFS('ADU Homeowner Survey 2025'!B:B,'County Overview'!A$5,'ADU Homeowner Survey 2025'!Q:Q,"0 (studio)")</calculatedColumnFormula>
    </tableColumn>
    <tableColumn id="3" xr3:uid="{DA240E47-B9DB-48BC-91A4-E0DCA7D99663}" name="Percent of Responses" dataDxfId="73" dataCellStyle="Percent">
      <calculatedColumnFormula>B19/SUM(Table143442[Count of Responses])</calculatedColumnFormula>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DE302B8E-7988-4C98-8F09-2026097F3CF0}" name="Table91761" displayName="Table91761" ref="A10:C15" totalsRowShown="0" headerRowDxfId="72" dataDxfId="71">
  <autoFilter ref="A10:C15" xr:uid="{6D1130BC-A51F-4A34-B86F-24AFFBB2CC78}"/>
  <sortState xmlns:xlrd2="http://schemas.microsoft.com/office/spreadsheetml/2017/richdata2" ref="A11:C14">
    <sortCondition descending="1" ref="C10:C14"/>
  </sortState>
  <tableColumns count="3">
    <tableColumn id="1" xr3:uid="{4C189C3F-6CBC-4062-9C9C-754BEC0F97D0}" name="Occupant(s)" dataDxfId="70"/>
    <tableColumn id="2" xr3:uid="{0E96FAE2-FB5F-406E-B671-5EE3E9709E8B}" name="Responses" dataDxfId="69"/>
    <tableColumn id="3" xr3:uid="{CD5E2D02-676D-416C-AF8D-A501E219CB26}" name="Percent of Responses" dataDxfId="68" dataCellStyle="Percent">
      <calculatedColumnFormula>B11/B$7</calculatedColumnFormula>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2A7A5ABD-68F1-4F26-880E-4C1955D8234C}" name="Table101862" displayName="Table101862" ref="A30:C36" totalsRowShown="0" headerRowDxfId="67" dataDxfId="66">
  <autoFilter ref="A30:C36" xr:uid="{72718187-D4DE-48EB-BB37-81DB6576AFF6}"/>
  <tableColumns count="3">
    <tableColumn id="1" xr3:uid="{46EE9468-3A0B-4E58-98DD-4A8B4AD6A50F}" name="ADU Size" dataDxfId="65"/>
    <tableColumn id="2" xr3:uid="{E47E503E-4612-4057-9C8A-7A8490877DEA}" name="Count of Responses" dataDxfId="64"/>
    <tableColumn id="3" xr3:uid="{85A36FB7-1498-4D02-A2EA-2D4978B1136E}" name="Percent of Responses" dataDxfId="63" dataCellStyle="Percent">
      <calculatedColumnFormula>B31/SUM(Table101862[Count of Responses])</calculatedColumnFormula>
    </tableColumn>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A57167C5-E1A8-439E-901C-E7FC2CA352ED}" name="Table1033564" displayName="Table1033564" ref="A39:C51" totalsRowShown="0" headerRowDxfId="62" dataDxfId="61">
  <autoFilter ref="A39:C51" xr:uid="{514F6BA9-F0FF-4C4B-B579-7CE48DCE30BA}"/>
  <tableColumns count="3">
    <tableColumn id="1" xr3:uid="{9EF6093B-97AE-4D8B-BE2A-1DFE8D4BFD72}" name="ADU Rent Category" dataDxfId="60"/>
    <tableColumn id="2" xr3:uid="{66BBBF2E-F9FD-4EE8-B61F-170AE4F4938C}" name="Count of Responses" dataDxfId="59">
      <calculatedColumnFormula>COUNTIFS('ADU Homeowner Survey 2025'!R:R,"&gt;=500",'ADU Homeowner Survey 2025'!R:R,"&lt;=1000")</calculatedColumnFormula>
    </tableColumn>
    <tableColumn id="3" xr3:uid="{0AFC686F-F74F-4F7E-9AC0-B7E2B128E601}" name="Percent of Responses" dataDxfId="58" dataCellStyle="Percent">
      <calculatedColumnFormula>B40/SUM(Table1033564[Count of Responses])</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D1130BC-A51F-4A34-B86F-24AFFBB2CC78}" name="Table9" displayName="Table9" ref="A19:C25" totalsRowShown="0" headerRowDxfId="147" dataDxfId="146">
  <autoFilter ref="A19:C25" xr:uid="{6D1130BC-A51F-4A34-B86F-24AFFBB2CC78}"/>
  <sortState xmlns:xlrd2="http://schemas.microsoft.com/office/spreadsheetml/2017/richdata2" ref="A20:C23">
    <sortCondition descending="1" ref="C19:C23"/>
  </sortState>
  <tableColumns count="3">
    <tableColumn id="1" xr3:uid="{4141F392-F95F-4087-9C8A-9DF9D69EBB0F}" name="Occupant(s)" dataDxfId="145"/>
    <tableColumn id="2" xr3:uid="{B6B0B1E9-1149-4D7A-B8B4-4B16960104AA}" name="Responses" dataDxfId="144"/>
    <tableColumn id="3" xr3:uid="{4FFCEA7A-4CC4-4491-B85B-0805B0BCBEFC}" name="Percent of Responses" dataDxfId="143" dataCellStyle="Percent">
      <calculatedColumnFormula>B20/(COUNTA('ADU Homeowner Survey 2025'!K:K)-1)</calculatedColumnFormula>
    </tableColumn>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3BE5EF41-AE05-41E9-959D-88C7CC612C54}" name="Table133665" displayName="Table133665" ref="A54:C60" totalsRowShown="0" headerRowDxfId="57" dataDxfId="56">
  <autoFilter ref="A54:C60" xr:uid="{02DB22D0-DA31-4B9F-A87F-BE60B4050E17}"/>
  <sortState xmlns:xlrd2="http://schemas.microsoft.com/office/spreadsheetml/2017/richdata2" ref="A55:C60">
    <sortCondition descending="1" ref="C54:C60"/>
  </sortState>
  <tableColumns count="3">
    <tableColumn id="1" xr3:uid="{5A7D0487-A74F-44A2-A7D9-A2C58CC41BC1}" name="Utility" dataDxfId="55"/>
    <tableColumn id="2" xr3:uid="{787530C8-66D3-4350-86E1-9760B75B96F7}" name="Count of Responses" dataDxfId="54"/>
    <tableColumn id="3" xr3:uid="{236346D1-FCA4-4FF7-B007-C87A2F0F146A}" name="Percent of Responses" dataDxfId="53" dataCellStyle="Percent">
      <calculatedColumnFormula>B55/B$7</calculatedColumnFormula>
    </tableColumn>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1A9783D4-DC39-4D63-A479-ECE3F29DC875}" name="Table143466" displayName="Table143466" ref="A23:C27" totalsRowShown="0" headerRowDxfId="52" dataDxfId="51">
  <autoFilter ref="A23:C27" xr:uid="{91E2D1ED-F7EB-4C1D-9AFA-5085F814558F}"/>
  <tableColumns count="3">
    <tableColumn id="1" xr3:uid="{737D39E5-21B4-4466-893B-42A49897C29C}" name="Bedroom Count" dataDxfId="50"/>
    <tableColumn id="2" xr3:uid="{8730352F-BB09-4B00-80F3-851086D9F9E6}" name="Count of Responses" dataDxfId="49">
      <calculatedColumnFormula>COUNTIFS('ADU Homeowner Survey 2025'!B:B,'City Overview'!A$5,'ADU Homeowner Survey 2025'!Q:Q,"0 (studio)")</calculatedColumnFormula>
    </tableColumn>
    <tableColumn id="3" xr3:uid="{AB8AC8ED-2651-456D-A408-FB60CADA3C75}" name="Percent of Responses" dataDxfId="48" dataCellStyle="Percent">
      <calculatedColumnFormula>B24/SUM(Table143466[Count of Responses])</calculatedColumnFormula>
    </tableColumn>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A5F3A2E7-B6BE-41B3-88EB-7E24E2147810}" name="Table14344267" displayName="Table14344267" ref="A18:C20" totalsRowShown="0" headerRowDxfId="47" dataDxfId="46">
  <autoFilter ref="A18:C20" xr:uid="{85E3678D-50FE-4B7E-B181-9A531D5E2586}"/>
  <tableColumns count="3">
    <tableColumn id="1" xr3:uid="{A0664559-EE80-451E-A686-F6D89A9A67AA}" name="Is there a planned residential use for the ADU?" dataDxfId="45"/>
    <tableColumn id="2" xr3:uid="{977BF333-F8A7-45E9-B52A-561EE865F84B}" name="Count of Responses" dataDxfId="44">
      <calculatedColumnFormula>COUNTIFS('ADU Homeowner Survey 2025'!B:B,'City Overview'!A$5,'ADU Homeowner Survey 2025'!Q:Q,"0 (studio)")</calculatedColumnFormula>
    </tableColumn>
    <tableColumn id="3" xr3:uid="{C4C1E654-26CE-4572-8E8E-1E8876F2482D}" name="Percent of Responses" dataDxfId="43" dataCellStyle="Percent">
      <calculatedColumnFormula>B19/SUM(Table14344267[Count of Responses])</calculatedColumnFormula>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D59FF1D-4D13-4F7A-9B61-FDDA3A48D365}" name="Table116" displayName="Table116" ref="B5:D10" totalsRowShown="0" headerRowDxfId="199" dataDxfId="198">
  <autoFilter ref="B5:D10" xr:uid="{CFBF15E2-7562-4C22-8F22-F6418D740B3B}"/>
  <tableColumns count="3">
    <tableColumn id="1" xr3:uid="{53C655AE-010E-4EDF-99EF-5390A0D646C9}" name="ADU Affordability Level" dataDxfId="197"/>
    <tableColumn id="2" xr3:uid="{5A08F7CB-FED9-40CB-A602-444936E7B78D}" name="Count of Units" dataDxfId="196">
      <calculatedColumnFormula>SUM(#REF!)</calculatedColumnFormula>
    </tableColumn>
    <tableColumn id="3" xr3:uid="{7D6F16B0-C6FE-439C-8E18-20316015F9DF}" name="Percent" dataDxfId="195" dataCellStyle="Percent">
      <calculatedColumnFormula>Table116[[#This Row],[Count of Units]]/(SUM(Table116[Count of Units]))</calculatedColumnFormula>
    </tableColumn>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243E724-27B4-48A6-85E9-5BD427A4EC65}" name="Table11619" displayName="Table11619" ref="B17:D22" totalsRowShown="0" headerRowDxfId="194" dataDxfId="193">
  <autoFilter ref="B17:D22" xr:uid="{8243E724-27B4-48A6-85E9-5BD427A4EC65}"/>
  <tableColumns count="3">
    <tableColumn id="1" xr3:uid="{AAB9E042-FA27-43DA-9117-462B1BB0C45A}" name="ADU Affordability Level" dataDxfId="192"/>
    <tableColumn id="2" xr3:uid="{B128A7A1-19E1-49BE-820D-B62981235631}" name="Count of Units" dataDxfId="191"/>
    <tableColumn id="3" xr3:uid="{F004FD36-FB96-41ED-A516-EBC21AC09C51}" name="Percent" dataDxfId="190" dataCellStyle="Percent">
      <calculatedColumnFormula>Table11619[[#This Row],[Count of Units]]/(SUM(Table11619[Count of Units]))</calculatedColumnFormula>
    </tableColumn>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0B870A5-D798-40E5-BA62-3C216D428CFC}" name="Table11620" displayName="Table11620" ref="B29:D34" totalsRowShown="0" headerRowDxfId="189" dataDxfId="188">
  <autoFilter ref="B29:D34" xr:uid="{E0B870A5-D798-40E5-BA62-3C216D428CFC}"/>
  <tableColumns count="3">
    <tableColumn id="1" xr3:uid="{48BE6F9A-6B54-4B86-8DE0-A0F7005C299C}" name="ADU Affordability Level" dataDxfId="187"/>
    <tableColumn id="2" xr3:uid="{B19A3E8E-A3C3-4234-B574-340349262B91}" name="Count of Units" dataDxfId="186"/>
    <tableColumn id="3" xr3:uid="{D33CE6C2-CA56-4652-A6E8-E810CE7F3261}" name="Percent" dataDxfId="185" dataCellStyle="Percent">
      <calculatedColumnFormula>Table11620[[#This Row],[Count of Units]]/(SUM(Table11620[Count of Units]))</calculatedColumnFormula>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06021D2-5BA6-4F76-B4A6-335739F1DDB3}" name="Table11621" displayName="Table11621" ref="B41:D46" totalsRowShown="0" headerRowDxfId="184" dataDxfId="183">
  <autoFilter ref="B41:D46" xr:uid="{906021D2-5BA6-4F76-B4A6-335739F1DDB3}"/>
  <tableColumns count="3">
    <tableColumn id="1" xr3:uid="{52831DB1-7507-4EA5-851D-71B361B0A771}" name="ADU Affordability Level" dataDxfId="182"/>
    <tableColumn id="2" xr3:uid="{F467489F-A75D-4E63-9A44-F01561BE797D}" name="Count of Units" dataDxfId="181"/>
    <tableColumn id="3" xr3:uid="{BB1DDDCE-9BF2-47AC-A0A5-C44DEE78B2A8}" name="Percent" dataDxfId="180" dataCellStyle="Percent">
      <calculatedColumnFormula>Table11621[[#This Row],[Count of Units]]/(SUM(Table11621[Count of Units]))</calculatedColumnFormula>
    </tableColum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BEAF997-8053-4BA1-9F00-F1BB5CF1CD2B}" name="Table11622" displayName="Table11622" ref="B65:D70" totalsRowShown="0" headerRowDxfId="179" dataDxfId="178">
  <autoFilter ref="B65:D70" xr:uid="{8BEAF997-8053-4BA1-9F00-F1BB5CF1CD2B}"/>
  <tableColumns count="3">
    <tableColumn id="1" xr3:uid="{0DDCA3DC-684C-4AED-8942-90B555C5EAC3}" name="ADU Affordability Level" dataDxfId="177"/>
    <tableColumn id="2" xr3:uid="{A0EA7162-8F2D-44DB-9263-7ABE3A386FA3}" name="Count of Units" dataDxfId="176"/>
    <tableColumn id="3" xr3:uid="{830C4CC5-413F-4C2B-8F52-B02A6038823E}" name="Percent" dataDxfId="175" dataCellStyle="Percent">
      <calculatedColumnFormula>Table11622[[#This Row],[Count of Units]]/(SUM(Table11622[Count of Units]))</calculatedColumnFormula>
    </tableColumn>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0D9B97D-CF48-44C3-B542-CDBA8FB2982C}" name="Table11623" displayName="Table11623" ref="B77:D82" totalsRowShown="0" headerRowDxfId="174" dataDxfId="173">
  <autoFilter ref="B77:D82" xr:uid="{B0D9B97D-CF48-44C3-B542-CDBA8FB2982C}"/>
  <tableColumns count="3">
    <tableColumn id="1" xr3:uid="{315BCE85-CC3D-42E4-B4BC-ACD53EF6F18F}" name="ADU Affordability Level" dataDxfId="172"/>
    <tableColumn id="2" xr3:uid="{C72448A8-AE5D-4CE8-B1A7-28E237F7B2C6}" name="Count of Units" dataDxfId="171"/>
    <tableColumn id="3" xr3:uid="{054C917A-8FA0-4CD8-AFFA-CA3AC7C78093}" name="Percent" dataDxfId="170" dataCellStyle="Percent">
      <calculatedColumnFormula>Table11623[[#This Row],[Count of Units]]/(SUM(Table11623[Count of Units]))</calculatedColumnFormula>
    </tableColumn>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380A464-47B0-4C56-B69A-6CCBD3325E70}" name="Table11624" displayName="Table11624" ref="B89:D94" totalsRowShown="0" headerRowDxfId="169" dataDxfId="168">
  <autoFilter ref="B89:D94" xr:uid="{2380A464-47B0-4C56-B69A-6CCBD3325E70}"/>
  <tableColumns count="3">
    <tableColumn id="1" xr3:uid="{273EC03A-16CC-4BA2-A8BC-6AB5F26DDFD7}" name="ADU Affordability Level" dataDxfId="167"/>
    <tableColumn id="2" xr3:uid="{0D084C99-F3CF-4BF5-AC4F-20958C9C0B4A}" name="Count of Units" dataDxfId="166"/>
    <tableColumn id="3" xr3:uid="{38CA3D72-EE9B-4C22-B507-1BE2112AB7FE}" name="Percent" dataDxfId="165" dataCellStyle="Percen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2718187-D4DE-48EB-BB37-81DB6576AFF6}" name="Table10" displayName="Table10" ref="A40:C46" totalsRowShown="0" headerRowDxfId="142" dataDxfId="141">
  <autoFilter ref="A40:C46" xr:uid="{72718187-D4DE-48EB-BB37-81DB6576AFF6}"/>
  <tableColumns count="3">
    <tableColumn id="1" xr3:uid="{C606FC84-5AD7-4445-B506-4DFA7187E4A4}" name="ADU Size" dataDxfId="140"/>
    <tableColumn id="2" xr3:uid="{E2088C23-534A-41D5-9F88-7F7FB2737D13}" name="Count of Responses" dataDxfId="139"/>
    <tableColumn id="3" xr3:uid="{CC60A79C-737B-47D6-ABC0-61C7FDF09B54}" name="Percent of Responses" dataDxfId="138" dataCellStyle="Percent">
      <calculatedColumnFormula>B41/SUM(Table10[Count of Responses])</calculatedColumnFormula>
    </tableColumn>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2214E00-A8D5-418B-BA5A-3868AE88C907}" name="Table11625" displayName="Table11625" ref="B101:D106" totalsRowShown="0" headerRowDxfId="164" dataDxfId="163">
  <autoFilter ref="B101:D106" xr:uid="{62214E00-A8D5-418B-BA5A-3868AE88C907}"/>
  <tableColumns count="3">
    <tableColumn id="1" xr3:uid="{55449506-C844-4217-ADB2-BD84100A1EAD}" name="ADU Affordability Level" dataDxfId="162"/>
    <tableColumn id="2" xr3:uid="{900EC926-37F7-4A9F-A3A4-C95E3BC8CE05}" name="Count of Units" dataDxfId="161">
      <calculatedColumnFormula>SUM('2025 Affordability Calcluations'!K373,'2025 Affordability Calcluations'!K374,'2025 Affordability Calcluations'!K375,'2025 Affordability Calcluations'!K376)</calculatedColumnFormula>
    </tableColumn>
    <tableColumn id="3" xr3:uid="{A9D5708F-4C0D-4AD0-A0F6-83868A0467D6}" name="Percent" dataDxfId="160" dataCellStyle="Percent">
      <calculatedColumnFormula>Table11625[[#This Row],[Count of Units]]/SUM(Table11625[Count of Units])</calculatedColumnFormula>
    </tableColumn>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1119498-3974-4303-BB56-FDE86C5C938E}" name="Table116224" displayName="Table116224" ref="B53:D58" totalsRowShown="0" headerRowDxfId="159" dataDxfId="158">
  <autoFilter ref="B53:D58" xr:uid="{B1119498-3974-4303-BB56-FDE86C5C938E}"/>
  <tableColumns count="3">
    <tableColumn id="1" xr3:uid="{9B3361DB-FB6B-4ADA-9A42-D05387DF424E}" name="ADU Affordability Level" dataDxfId="157"/>
    <tableColumn id="2" xr3:uid="{7C66FBB4-4B3C-444C-8384-CE962F85605F}" name="Count of Units" dataDxfId="156"/>
    <tableColumn id="3" xr3:uid="{A3F35E53-A62A-48DD-A4A9-E8AC7288DC1D}" name="Percent" dataDxfId="155" dataCellStyle="Percent">
      <calculatedColumnFormula>Table116224[[#This Row],[Count of Units]]/(SUM(Table116224[Count of Units]))</calculatedColumnFormula>
    </tableColumn>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C0CCDAA-8945-4A98-BA32-EC19FFB520BC}" name="Table37" displayName="Table37" ref="B123:E168" totalsRowShown="0">
  <autoFilter ref="B123:E168" xr:uid="{DC0CCDAA-8945-4A98-BA32-EC19FFB520BC}"/>
  <tableColumns count="4">
    <tableColumn id="1" xr3:uid="{4752EEF7-646A-48D6-8FA7-1DF987418E03}" name="County"/>
    <tableColumn id="2" xr3:uid="{2EC0BF24-6250-497A-B8A3-C38C428D010A}" name="Affordability Level">
      <calculatedColumnFormula>B62</calculatedColumnFormula>
    </tableColumn>
    <tableColumn id="3" xr3:uid="{1B04A218-5A26-4929-B80F-F84F6F02A18F}" name="Count of Units" dataDxfId="154">
      <calculatedColumnFormula>C62</calculatedColumnFormula>
    </tableColumn>
    <tableColumn id="4" xr3:uid="{B502CD83-2D74-4181-AD0E-48DB74EBF17C}" name="Percent" dataDxfId="153" dataCellStyle="Percent">
      <calculatedColumnFormula>D62</calculatedColumnFormula>
    </tableColumn>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54C686B-E886-4413-B80D-A24AD6393768}" name="Table25" displayName="Table25" ref="A4:C6" totalsRowShown="0">
  <autoFilter ref="A4:C6" xr:uid="{654C686B-E886-4413-B80D-A24AD6393768}"/>
  <tableColumns count="3">
    <tableColumn id="1" xr3:uid="{5D9E06FB-55D2-4FD5-AE29-7668061DFC56}" name="Answer" dataDxfId="42"/>
    <tableColumn id="2" xr3:uid="{8A505A6A-5CBA-4231-BD52-4545E50E0CD2}" name="Count of Responses">
      <calculatedColumnFormula>COUNTIF('ADU Homeowner Survey 2025'!U:U,'Demographic Data'!A5)</calculatedColumnFormula>
    </tableColumn>
    <tableColumn id="3" xr3:uid="{014D06EB-994C-4BEB-8BDB-182E1DDFAF5B}" name="Percent of Responses" dataDxfId="41" dataCellStyle="Percent">
      <calculatedColumnFormula>B5/(COUNTA('ADU Homeowner Survey 2025'!U:U)-1)</calculatedColumnFormula>
    </tableColumn>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0671C03-C4D8-4756-8941-25A85141FEA3}" name="Table26" displayName="Table26" ref="A10:C14" totalsRowShown="0">
  <autoFilter ref="A10:C14" xr:uid="{60671C03-C4D8-4756-8941-25A85141FEA3}"/>
  <tableColumns count="3">
    <tableColumn id="1" xr3:uid="{1FBA4F83-DED9-41C6-8C50-88CB5FAA914A}" name="Answer"/>
    <tableColumn id="2" xr3:uid="{0F9E39C2-B50D-48B7-925B-848BB4E749F5}" name="Count of Responses">
      <calculatedColumnFormula>COUNTIF('ADU Homeowner Survey 2025'!V:V,'Demographic Data'!A11)</calculatedColumnFormula>
    </tableColumn>
    <tableColumn id="3" xr3:uid="{2DDE4501-4110-41DF-A9B7-98504120CCD3}" name="Percent of Responses" dataDxfId="40" dataCellStyle="Percent">
      <calculatedColumnFormula>B11/$B$5</calculatedColumnFormula>
    </tableColumn>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10B86ED-7A10-4884-B6F7-AD8A58556791}" name="Table27" displayName="Table27" ref="A17:C23" totalsRowShown="0">
  <autoFilter ref="A17:C23" xr:uid="{D10B86ED-7A10-4884-B6F7-AD8A58556791}"/>
  <tableColumns count="3">
    <tableColumn id="1" xr3:uid="{06B654F4-3DCF-47EA-A7AB-537F1B58903D}" name="Answer"/>
    <tableColumn id="2" xr3:uid="{BDEE8FDA-3D5E-4B12-977F-6EC129272CEB}" name="Count of Responses"/>
    <tableColumn id="3" xr3:uid="{4CF0A693-8A88-445F-B1A2-D6C618EBC932}" name="Percent of Responses" dataDxfId="39" dataCellStyle="Percent">
      <calculatedColumnFormula>B18/$B$5</calculatedColumnFormula>
    </tableColumn>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E97EE7C-9A99-4E4C-8A1A-814330D390A8}" name="Table28" displayName="Table28" ref="A27:C32" totalsRowShown="0">
  <autoFilter ref="A27:C32" xr:uid="{3E97EE7C-9A99-4E4C-8A1A-814330D390A8}"/>
  <tableColumns count="3">
    <tableColumn id="1" xr3:uid="{5811EC61-DD61-4135-B679-F9D78BB7A65C}" name="Answer"/>
    <tableColumn id="2" xr3:uid="{16CB139A-096E-4DE7-9073-1D69B5F80A13}" name="Count of Responses"/>
    <tableColumn id="3" xr3:uid="{6E480235-6A14-4260-A15A-378E832C2F5B}" name="Percent of Responses" dataDxfId="38" dataCellStyle="Percent">
      <calculatedColumnFormula>B28/$B$5</calculatedColumnFormula>
    </tableColumn>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C90DE2BE-270D-4939-9078-8C22CD7EFD24}" name="Table29" displayName="Table29" ref="A35:C41" totalsRowShown="0">
  <autoFilter ref="A35:C41" xr:uid="{C90DE2BE-270D-4939-9078-8C22CD7EFD24}"/>
  <tableColumns count="3">
    <tableColumn id="4" xr3:uid="{5E41BE7C-1514-42E3-9B87-5F53D8AD1BBB}" name="Answer" dataDxfId="37"/>
    <tableColumn id="2" xr3:uid="{EC295DD2-8CA3-43D0-A7A3-1D4611751D89}" name="Count of Responses">
      <calculatedColumnFormula>COUNTIF('ADU Homeowner Survey 2025'!AA:AA,'Demographic Data'!#REF!)</calculatedColumnFormula>
    </tableColumn>
    <tableColumn id="3" xr3:uid="{6E237D2E-3DA1-4BA3-97BC-F9E7A8FB88C4}" name="Percent of Responses" dataDxfId="36" dataCellStyle="Percent">
      <calculatedColumnFormula>B36/$B$5</calculatedColumnFormula>
    </tableColumn>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D68597F2-EC43-416C-A594-65CB046CCE77}" name="Table30" displayName="Table30" ref="A44:C50" totalsRowShown="0">
  <autoFilter ref="A44:C50" xr:uid="{D68597F2-EC43-416C-A594-65CB046CCE77}"/>
  <tableColumns count="3">
    <tableColumn id="1" xr3:uid="{3B82B7D5-BCC1-4EB9-BBC0-6C439F550BDD}" name="Answer"/>
    <tableColumn id="2" xr3:uid="{EFE7FC46-E1BE-46D6-9A05-73733A94656D}" name="Count of Responses">
      <calculatedColumnFormula>COUNTIF('ADU Homeowner Survey 2025'!AB:AB,'Demographic Data'!A45)</calculatedColumnFormula>
    </tableColumn>
    <tableColumn id="3" xr3:uid="{EBB10A96-DAB3-4EC4-915F-D938E04D4A10}" name="Percent of Responses" dataDxfId="35" dataCellStyle="Percent">
      <calculatedColumnFormula>B45/$B$5</calculatedColumnFormula>
    </tableColumn>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B725EE-BEEC-473D-ADCD-2C38A7F2C58C}" name="Table1" displayName="Table1" ref="A1:AG606" totalsRowShown="0" headerRowDxfId="34" dataDxfId="33">
  <autoFilter ref="A1:AG606" xr:uid="{20B725EE-BEEC-473D-ADCD-2C38A7F2C58C}"/>
  <sortState xmlns:xlrd2="http://schemas.microsoft.com/office/spreadsheetml/2017/richdata2" ref="A2:AG606">
    <sortCondition ref="B1:B606"/>
  </sortState>
  <tableColumns count="33">
    <tableColumn id="1" xr3:uid="{A00BD6E5-73EE-48AF-B98A-2639DB62FE50}" name="ID" dataDxfId="32"/>
    <tableColumn id="2" xr3:uid="{283E58DD-6914-4FE6-9C4E-843BBF3ABDE5}" name="Please select your county" dataDxfId="31"/>
    <tableColumn id="3" xr3:uid="{F8E4B639-B3FE-4B45-9416-204DD03E94B9}" name="City or Community (Alameda County)" dataDxfId="30"/>
    <tableColumn id="4" xr3:uid="{B4D4F973-03BF-4E00-9E10-4742F7B67AC1}" name="City or Community (Contra Costa)" dataDxfId="29"/>
    <tableColumn id="5" xr3:uid="{2989327E-FDFB-4DB9-A35A-7C7915442574}" name="City or Community (Marin County)" dataDxfId="28"/>
    <tableColumn id="6" xr3:uid="{2078F5C8-19B7-44B9-8DCE-E228B0350377}" name="City or Community (Napa County)" dataDxfId="27"/>
    <tableColumn id="7" xr3:uid="{E4DE0BD2-2C28-474E-8199-EE7E81D30107}" name="City or Community (San Mateo County)" dataDxfId="26"/>
    <tableColumn id="8" xr3:uid="{034C826C-8B7C-4C53-B112-6988139086BF}" name="City or Community (Santa Clara County)" dataDxfId="25"/>
    <tableColumn id="9" xr3:uid="{8D35BCEE-83D9-4641-A6E2-3EBE9CF8CE92}" name="City or Community (Solano County)" dataDxfId="24"/>
    <tableColumn id="10" xr3:uid="{933D467C-B548-4BEF-B5AB-29D0945A6D33}" name="City or Community (Sonoma County)" dataDxfId="23"/>
    <tableColumn id="11" xr3:uid="{78F9A8D4-BC45-477B-9642-9684447365AC}" name="Who do you expect to live in the ADU?" dataDxfId="22"/>
    <tableColumn id="32" xr3:uid="{4BDAAFD2-5282-4AF3-82E5-1562E9B5CE0B}" name="What type of ADU are you building?" dataDxfId="21"/>
    <tableColumn id="31" xr3:uid="{1DE29502-F190-443D-A123-E646CBEBBC35}" name="Select all the following design options that apply to your ADU:" dataDxfId="20"/>
    <tableColumn id="33" xr3:uid="{A3A2CFDC-E846-4EA0-BA20-78541D131973}" name="What has been the most difficult part of the ADU permit process?" dataDxfId="19"/>
    <tableColumn id="12" xr3:uid="{7AFF2816-EBED-45CB-9A25-038405CBCC3D}" name="Do you plan to initially use the ADU as housing?" dataDxfId="18"/>
    <tableColumn id="13" xr3:uid="{BE715A23-7EC1-435A-9F2B-7351E9BA863A}" name="How many square feet will your ADU have? (Estimates are okay)" dataDxfId="17"/>
    <tableColumn id="14" xr3:uid="{4B68A872-0DA3-4F19-AC56-F6D5286E4948}" name="How many bedrooms will the ADU have?" dataDxfId="16"/>
    <tableColumn id="15" xr3:uid="{9CB2712F-B3B9-4AF6-90E5-4750D02F2BDE}" name="What do you expect the approximate monthly rent to be? (Please enter 0 if you are not planning to collect rent for the ADU)" dataDxfId="15"/>
    <tableColumn id="16" xr3:uid="{9CEAD86A-6A57-456C-B0E7-EEB45780FA3D}" name="Which utilities will the tenant pay for (in full or in part)? (Select all that apply)" dataDxfId="14"/>
    <tableColumn id="17" xr3:uid="{4A02D868-6F77-4571-9E09-E5E2CBB38203}" name="Are you in a city/town/county that requires you to fill out this survey?" dataDxfId="13"/>
    <tableColumn id="18" xr3:uid="{35758584-2F8F-4B05-B007-61A0E916E7AB}" name="Do you want to answer optional demographic questions?" dataDxfId="12"/>
    <tableColumn id="19" xr3:uid="{260A7481-6EC2-4619-A63B-9A1AB8523591}" name="What is the age of the head of your household?" dataDxfId="11"/>
    <tableColumn id="20" xr3:uid="{2251F80C-E8C8-4B5E-9A60-C373A6737CA7}" name="What is the race of the head of your household? (Select all that apply)" dataDxfId="10"/>
    <tableColumn id="21" xr3:uid="{5C13416F-44BF-4EC1-A7B0-D751E2FC20AB}" name="If another race was selected above, please specify." dataDxfId="9"/>
    <tableColumn id="22" xr3:uid="{31558D66-C5FB-4E59-B1CF-A7286A6A7634}" name="What is the primary language spoken in your home? (Select all that apply)" dataDxfId="8"/>
    <tableColumn id="23" xr3:uid="{98C011DD-9DD2-4493-A391-E1C7CF9CA7AB}" name="If another language was selected above, please specify." dataDxfId="7"/>
    <tableColumn id="24" xr3:uid="{56275F58-EFF8-41CF-9431-B0CE0021A582}" name="What is the number of people who live in your household?" dataDxfId="6"/>
    <tableColumn id="25" xr3:uid="{0662F762-136E-4A80-BC20-2CA74D58EBAF}" name="What is your household income?" dataDxfId="5"/>
    <tableColumn id="29" xr3:uid="{047B8802-CAF9-4DC7-863E-F2FBF169C683}" name="Jurisdiction" dataDxfId="4">
      <calculatedColumnFormula>Table1[[#This Row],[City or Community (Alameda County)]]</calculatedColumnFormula>
    </tableColumn>
    <tableColumn id="26" xr3:uid="{EA730592-1700-4EC0-9AED-9B9377CEFC25}" name="Number of entries" dataDxfId="3"/>
    <tableColumn id="30" xr3:uid="{A5E2F235-3BBD-4B14-84DC-9C67307D1D64}" name="County" dataDxfId="2">
      <calculatedColumnFormula>Table1[[#This Row],[Please select your county]]</calculatedColumnFormula>
    </tableColumn>
    <tableColumn id="27" xr3:uid="{1142CE1E-F80D-4A00-9C0F-23EA451D7553}" name="Number of entries2" dataDxfId="1">
      <calculatedColumnFormula>COUNTIF(AE:AE,Table1[[#This Row],[County]])</calculatedColumnFormula>
    </tableColumn>
    <tableColumn id="28" xr3:uid="{F6B204DB-DB96-406A-B79E-3DDC5B0A45E4}" name="Year" dataDxfId="0">
      <calculatedColumnFormula>YEAR(Table1[[#This Row],[Number of entries2]])</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FBF15E2-7562-4C22-8F22-F6418D740B3B}" name="Table11" displayName="Table11" ref="A49:C54" totalsRowShown="0" headerRowDxfId="137" dataDxfId="136">
  <autoFilter ref="A49:C54" xr:uid="{CFBF15E2-7562-4C22-8F22-F6418D740B3B}"/>
  <tableColumns count="3">
    <tableColumn id="1" xr3:uid="{3C27AA0C-760A-49AF-A763-924EBE479989}" name="ADU Affordability Level" dataDxfId="135"/>
    <tableColumn id="2" xr3:uid="{B06B3022-DB6B-452D-9064-0A9C440B1FB3}" name="Count of Units" dataDxfId="134">
      <calculatedColumnFormula>SUM(#REF!,#REF!,#REF!,#REF!,#REF!,#REF!,#REF!,#REF!,#REF!)</calculatedColumnFormula>
    </tableColumn>
    <tableColumn id="3" xr3:uid="{7C5B0B43-49DF-4D04-8506-3FDB837479BF}" name="Percent" dataDxfId="133" dataCellStyle="Percent">
      <calculatedColumnFormula>Table11[[#This Row],[Count of Units]]/SUM(Table11[Count of Units])</calculatedColumnFormula>
    </tableColumn>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FC9A7B-C81C-4C6F-93C1-0CEDF815D7AF}" name="Table6" displayName="Table6" ref="A1:B39" totalsRowShown="0">
  <autoFilter ref="A1:B39" xr:uid="{27FC9A7B-C81C-4C6F-93C1-0CEDF815D7AF}">
    <filterColumn colId="1">
      <filters>
        <filter val="10"/>
        <filter val="13"/>
        <filter val="16"/>
        <filter val="17"/>
        <filter val="25"/>
        <filter val="26"/>
        <filter val="34"/>
        <filter val="38"/>
        <filter val="42"/>
        <filter val="5"/>
        <filter val="55"/>
        <filter val="56"/>
        <filter val="7"/>
        <filter val="8"/>
        <filter val="88"/>
        <filter val="9"/>
        <filter val="91"/>
      </filters>
    </filterColumn>
  </autoFilter>
  <sortState xmlns:xlrd2="http://schemas.microsoft.com/office/spreadsheetml/2017/richdata2" ref="A22:B39">
    <sortCondition ref="A1:A39"/>
  </sortState>
  <tableColumns count="2">
    <tableColumn id="1" xr3:uid="{3D6BD29D-0E0A-4498-8F06-B45CBB4F4AA0}" name="Jurisdiction"/>
    <tableColumn id="2" xr3:uid="{943BB4D1-9B43-4EB5-A03F-6BBBD1DF9AEE}" name="Number of entries"/>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3B078B5A-16C6-45CA-A5DC-85F258AC5898}" name="Table38" displayName="Table38" ref="D22:E31" totalsRowShown="0">
  <autoFilter ref="D22:E31" xr:uid="{3B078B5A-16C6-45CA-A5DC-85F258AC5898}"/>
  <sortState xmlns:xlrd2="http://schemas.microsoft.com/office/spreadsheetml/2017/richdata2" ref="D23:E31">
    <sortCondition ref="D22:D31"/>
  </sortState>
  <tableColumns count="2">
    <tableColumn id="1" xr3:uid="{2D45C4D6-B83E-4BAC-9D3D-31CC878CA336}" name="County"/>
    <tableColumn id="2" xr3:uid="{772F2E9C-1AD2-4A9B-BAC2-CC273F9838CF}" name="County Number of entri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1E2D1ED-F7EB-4C1D-9AFA-5085F814558F}" name="Table14" displayName="Table14" ref="A33:C37" totalsRowShown="0" headerRowDxfId="132" dataDxfId="131">
  <autoFilter ref="A33:C37" xr:uid="{91E2D1ED-F7EB-4C1D-9AFA-5085F814558F}"/>
  <tableColumns count="3">
    <tableColumn id="1" xr3:uid="{6EFD3087-F58B-4CA8-A5A3-56ECADD996B1}" name="Bedroom Count" dataDxfId="130"/>
    <tableColumn id="2" xr3:uid="{FF812869-DA46-4AD8-BBF0-AEBF8E3B78DD}" name="Count of Responses" dataDxfId="129"/>
    <tableColumn id="3" xr3:uid="{0FF4101B-AC6C-483C-A696-AB73AA52D7C3}" name="Percent of Responses" dataDxfId="128" dataCellStyle="Percent">
      <calculatedColumnFormula>B34/SUM(Table14[Count of Responses])</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14F6BA9-F0FF-4C4B-B579-7CE48DCE30BA}" name="Table103" displayName="Table103" ref="A57:C69" totalsRowShown="0" headerRowDxfId="127" dataDxfId="126">
  <autoFilter ref="A57:C69" xr:uid="{514F6BA9-F0FF-4C4B-B579-7CE48DCE30BA}"/>
  <tableColumns count="3">
    <tableColumn id="1" xr3:uid="{95D46EC7-BC66-48B8-95E1-880F7153D638}" name="ADU Rent Category" dataDxfId="125"/>
    <tableColumn id="2" xr3:uid="{A7196865-94EB-42BE-86BD-780DC4E90B3C}" name="Count of Responses" dataDxfId="124">
      <calculatedColumnFormula>COUNTIFS('ADU Homeowner Survey 2025'!R:R,"&gt;=500",'ADU Homeowner Survey 2025'!R:R,"&lt;=1000")</calculatedColumnFormula>
    </tableColumn>
    <tableColumn id="3" xr3:uid="{D84FC874-F29C-4A43-82D5-CE8F88AD8110}" name="Percent of Responses" dataDxfId="123" dataCellStyle="Percent">
      <calculatedColumnFormula>B58/SUM(Table103[Count of Responses])</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DB22D0-DA31-4B9F-A87F-BE60B4050E17}" name="Table13" displayName="Table13" ref="A72:C78" totalsRowShown="0" headerRowDxfId="122" dataDxfId="121">
  <autoFilter ref="A72:C78" xr:uid="{02DB22D0-DA31-4B9F-A87F-BE60B4050E17}"/>
  <sortState xmlns:xlrd2="http://schemas.microsoft.com/office/spreadsheetml/2017/richdata2" ref="A73:C78">
    <sortCondition descending="1" ref="C72:C78"/>
  </sortState>
  <tableColumns count="3">
    <tableColumn id="1" xr3:uid="{0A9CEF1D-FEEE-485E-BC60-70C31D8B5BB9}" name="Utility" dataDxfId="120"/>
    <tableColumn id="2" xr3:uid="{CFF51F70-9B30-405E-8471-306B89A3B4E2}" name="Count of Responses" dataDxfId="119"/>
    <tableColumn id="3" xr3:uid="{80A0DB6A-64D1-4AFB-996A-34AE3161D074}" name="Percent of Responses" dataDxfId="118" dataCellStyle="Percent">
      <calculatedColumnFormula>B73/B$4</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CBCA0C2-1C88-47C5-B2C3-5F44AF0D2D7D}" name="Table15" displayName="Table15" ref="A81:C84" totalsRowShown="0" headerRowDxfId="117" dataDxfId="116">
  <autoFilter ref="A81:C84" xr:uid="{1CBCA0C2-1C88-47C5-B2C3-5F44AF0D2D7D}"/>
  <tableColumns count="3">
    <tableColumn id="1" xr3:uid="{8F52FD27-678D-4296-9701-C522E741EECF}" name="Answer" dataDxfId="115"/>
    <tableColumn id="2" xr3:uid="{5E83DF79-D63D-4E10-9D55-DB649942362F}" name="Count of Responses" dataDxfId="114"/>
    <tableColumn id="3" xr3:uid="{FDAE1332-B141-4817-9C5A-CC53ED3FA301}" name="Percent of Responses" dataDxfId="113" dataCellStyle="Percent">
      <calculatedColumnFormula>B82/SUM(Table15[Count of Responses])</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3194A4C-046C-4CEF-B66E-40E60DF67A83}" name="Table1443" displayName="Table1443" ref="A28:C30" totalsRowShown="0" headerRowDxfId="112" dataDxfId="111">
  <autoFilter ref="A28:C30" xr:uid="{13194A4C-046C-4CEF-B66E-40E60DF67A83}"/>
  <tableColumns count="3">
    <tableColumn id="1" xr3:uid="{06444F23-20E3-41C6-B3C9-957463C3925E}" name="Is there a planned residential use for the ADU?" dataDxfId="110"/>
    <tableColumn id="2" xr3:uid="{1613B0B6-B848-47E4-ABE1-92DC56E5FEB8}" name="Count of Responses" dataDxfId="109">
      <calculatedColumnFormula>COUNTIF('ADU Homeowner Survey 2025'!O:O,"Yes, this unit will be used for housing.")</calculatedColumnFormula>
    </tableColumn>
    <tableColumn id="3" xr3:uid="{D3265237-4C2C-45CF-ABC1-B9D1C3B34569}" name="Percent of Responses" dataDxfId="108" dataCellStyle="Percent">
      <calculatedColumnFormula>B29/SUM(Table1443[Count of Responses])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bag.ca.gov/technical-assistance/using-accessory-dwelling-units-adus-satisfy-rhna" TargetMode="External"/><Relationship Id="rId1" Type="http://schemas.openxmlformats.org/officeDocument/2006/relationships/hyperlink" Target="https://abag.ca.gov/technical-assistance/adu-affordability-survey-tool"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table" Target="../tables/table40.xm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5.xml"/><Relationship Id="rId3" Type="http://schemas.openxmlformats.org/officeDocument/2006/relationships/table" Target="../tables/table10.xml"/><Relationship Id="rId7" Type="http://schemas.openxmlformats.org/officeDocument/2006/relationships/table" Target="../tables/table1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 Id="rId9" Type="http://schemas.openxmlformats.org/officeDocument/2006/relationships/table" Target="../tables/table16.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2.xml"/><Relationship Id="rId3" Type="http://schemas.openxmlformats.org/officeDocument/2006/relationships/table" Target="../tables/table17.xml"/><Relationship Id="rId7" Type="http://schemas.openxmlformats.org/officeDocument/2006/relationships/table" Target="../tables/table2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table" Target="../tables/table20.xml"/><Relationship Id="rId5" Type="http://schemas.openxmlformats.org/officeDocument/2006/relationships/table" Target="../tables/table19.xml"/><Relationship Id="rId4" Type="http://schemas.openxmlformats.org/officeDocument/2006/relationships/table" Target="../tables/table18.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9.xml"/><Relationship Id="rId3" Type="http://schemas.openxmlformats.org/officeDocument/2006/relationships/table" Target="../tables/table24.xml"/><Relationship Id="rId7" Type="http://schemas.openxmlformats.org/officeDocument/2006/relationships/table" Target="../tables/table28.xml"/><Relationship Id="rId2" Type="http://schemas.openxmlformats.org/officeDocument/2006/relationships/table" Target="../tables/table23.xml"/><Relationship Id="rId1" Type="http://schemas.openxmlformats.org/officeDocument/2006/relationships/drawing" Target="../drawings/drawing4.xml"/><Relationship Id="rId6" Type="http://schemas.openxmlformats.org/officeDocument/2006/relationships/table" Target="../tables/table27.xml"/><Relationship Id="rId11" Type="http://schemas.openxmlformats.org/officeDocument/2006/relationships/table" Target="../tables/table32.xml"/><Relationship Id="rId5" Type="http://schemas.openxmlformats.org/officeDocument/2006/relationships/table" Target="../tables/table26.xml"/><Relationship Id="rId10" Type="http://schemas.openxmlformats.org/officeDocument/2006/relationships/table" Target="../tables/table31.xml"/><Relationship Id="rId4" Type="http://schemas.openxmlformats.org/officeDocument/2006/relationships/table" Target="../tables/table25.xml"/><Relationship Id="rId9" Type="http://schemas.openxmlformats.org/officeDocument/2006/relationships/table" Target="../tables/table30.xml"/></Relationships>
</file>

<file path=xl/worksheets/_rels/sheet6.xml.rels><?xml version="1.0" encoding="UTF-8" standalone="yes"?>
<Relationships xmlns="http://schemas.openxmlformats.org/package/2006/relationships"><Relationship Id="rId8" Type="http://schemas.openxmlformats.org/officeDocument/2006/relationships/table" Target="../tables/table38.xml"/><Relationship Id="rId3" Type="http://schemas.openxmlformats.org/officeDocument/2006/relationships/table" Target="../tables/table33.xml"/><Relationship Id="rId7" Type="http://schemas.openxmlformats.org/officeDocument/2006/relationships/table" Target="../tables/table37.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36.xml"/><Relationship Id="rId5" Type="http://schemas.openxmlformats.org/officeDocument/2006/relationships/table" Target="../tables/table35.xml"/><Relationship Id="rId4" Type="http://schemas.openxmlformats.org/officeDocument/2006/relationships/table" Target="../tables/table34.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hcd.ca.gov/sites/default/files/docs/grants-and-funding/income-limits-2025.pdf" TargetMode="External"/></Relationships>
</file>

<file path=xl/worksheets/_rels/sheet9.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A9B34-537F-4ACF-93B6-F3E21471673A}">
  <dimension ref="A1:C8"/>
  <sheetViews>
    <sheetView zoomScale="75" zoomScaleNormal="75" workbookViewId="0">
      <selection activeCell="A2" sqref="A2"/>
    </sheetView>
  </sheetViews>
  <sheetFormatPr defaultRowHeight="14.5" x14ac:dyDescent="0.35"/>
  <cols>
    <col min="1" max="1" width="118" customWidth="1"/>
    <col min="2" max="2" width="21.7265625" customWidth="1"/>
    <col min="3" max="3" width="31.1796875" customWidth="1"/>
  </cols>
  <sheetData>
    <row r="1" spans="1:3" ht="28.5" x14ac:dyDescent="0.65">
      <c r="A1" s="44" t="s">
        <v>0</v>
      </c>
    </row>
    <row r="2" spans="1:3" ht="233.25" customHeight="1" x14ac:dyDescent="0.35">
      <c r="A2" s="10" t="s">
        <v>1</v>
      </c>
      <c r="B2" s="1"/>
      <c r="C2" s="1"/>
    </row>
    <row r="3" spans="1:3" ht="19.5" customHeight="1" x14ac:dyDescent="0.35">
      <c r="A3" s="10"/>
      <c r="B3" s="1"/>
      <c r="C3" s="1"/>
    </row>
    <row r="4" spans="1:3" ht="19.5" customHeight="1" x14ac:dyDescent="0.55000000000000004">
      <c r="A4" s="45" t="s">
        <v>2</v>
      </c>
      <c r="B4" s="1"/>
      <c r="C4" s="1"/>
    </row>
    <row r="5" spans="1:3" ht="21" customHeight="1" x14ac:dyDescent="0.35">
      <c r="A5" s="46" t="s">
        <v>3</v>
      </c>
      <c r="B5" s="11"/>
      <c r="C5" s="8"/>
    </row>
    <row r="6" spans="1:3" ht="21" customHeight="1" x14ac:dyDescent="0.35">
      <c r="A6" s="46" t="s">
        <v>4</v>
      </c>
      <c r="B6" s="11"/>
      <c r="C6" s="8"/>
    </row>
    <row r="7" spans="1:3" ht="20.25" customHeight="1" x14ac:dyDescent="0.35">
      <c r="A7" s="11" t="s">
        <v>5</v>
      </c>
      <c r="B7" s="11"/>
      <c r="C7" s="8"/>
    </row>
    <row r="8" spans="1:3" ht="24.75" customHeight="1" x14ac:dyDescent="0.35">
      <c r="A8" s="12" t="s">
        <v>6</v>
      </c>
      <c r="B8" s="12"/>
    </row>
  </sheetData>
  <hyperlinks>
    <hyperlink ref="A5" r:id="rId1" xr:uid="{E2A27004-F1A4-4F9F-BC15-FD5B3CCFF08E}"/>
    <hyperlink ref="A6" r:id="rId2" xr:uid="{679A6231-89A3-4DFC-AA4A-A96A999DABA0}"/>
  </hyperlinks>
  <pageMargins left="0.7" right="0.7" top="0.75" bottom="0.75" header="0.3" footer="0.3"/>
  <pageSetup orientation="portrait" horizontalDpi="1200"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A76A-92DE-4F94-AE9E-E1F3DFF9516E}">
  <dimension ref="A1:E39"/>
  <sheetViews>
    <sheetView workbookViewId="0">
      <selection activeCell="E23" sqref="E23"/>
    </sheetView>
  </sheetViews>
  <sheetFormatPr defaultRowHeight="14.5" x14ac:dyDescent="0.35"/>
  <cols>
    <col min="1" max="1" width="22" customWidth="1"/>
    <col min="2" max="2" width="19.453125" customWidth="1"/>
    <col min="4" max="4" width="21.453125" customWidth="1"/>
    <col min="5" max="5" width="20.453125" customWidth="1"/>
  </cols>
  <sheetData>
    <row r="1" spans="1:5" x14ac:dyDescent="0.35">
      <c r="A1" t="s">
        <v>262</v>
      </c>
      <c r="B1" t="s">
        <v>263</v>
      </c>
    </row>
    <row r="2" spans="1:5" hidden="1" x14ac:dyDescent="0.35">
      <c r="A2" t="s">
        <v>416</v>
      </c>
      <c r="B2">
        <v>1</v>
      </c>
      <c r="D2" t="s">
        <v>98</v>
      </c>
      <c r="E2">
        <v>52</v>
      </c>
    </row>
    <row r="3" spans="1:5" hidden="1" x14ac:dyDescent="0.35">
      <c r="A3" t="s">
        <v>309</v>
      </c>
      <c r="B3">
        <v>1</v>
      </c>
      <c r="D3" t="s">
        <v>146</v>
      </c>
      <c r="E3">
        <v>131</v>
      </c>
    </row>
    <row r="4" spans="1:5" hidden="1" x14ac:dyDescent="0.35">
      <c r="A4" t="s">
        <v>346</v>
      </c>
      <c r="B4">
        <v>1</v>
      </c>
      <c r="D4" t="s">
        <v>147</v>
      </c>
      <c r="E4">
        <v>20</v>
      </c>
    </row>
    <row r="5" spans="1:5" hidden="1" x14ac:dyDescent="0.35">
      <c r="A5" t="s">
        <v>310</v>
      </c>
      <c r="B5">
        <v>1</v>
      </c>
      <c r="D5" t="s">
        <v>148</v>
      </c>
      <c r="E5">
        <v>4</v>
      </c>
    </row>
    <row r="6" spans="1:5" hidden="1" x14ac:dyDescent="0.35">
      <c r="A6" t="s">
        <v>20</v>
      </c>
      <c r="B6">
        <v>1</v>
      </c>
      <c r="D6" t="s">
        <v>149</v>
      </c>
      <c r="E6">
        <v>34</v>
      </c>
    </row>
    <row r="7" spans="1:5" hidden="1" x14ac:dyDescent="0.35">
      <c r="A7" t="s">
        <v>354</v>
      </c>
      <c r="B7">
        <v>1</v>
      </c>
      <c r="D7" t="s">
        <v>150</v>
      </c>
      <c r="E7">
        <v>124</v>
      </c>
    </row>
    <row r="8" spans="1:5" hidden="1" x14ac:dyDescent="0.35">
      <c r="A8" t="s">
        <v>378</v>
      </c>
      <c r="B8">
        <v>1</v>
      </c>
      <c r="D8" t="s">
        <v>151</v>
      </c>
      <c r="E8">
        <v>192</v>
      </c>
    </row>
    <row r="9" spans="1:5" hidden="1" x14ac:dyDescent="0.35">
      <c r="A9" t="s">
        <v>379</v>
      </c>
      <c r="B9">
        <v>1</v>
      </c>
      <c r="D9" t="s">
        <v>152</v>
      </c>
      <c r="E9">
        <v>18</v>
      </c>
    </row>
    <row r="10" spans="1:5" hidden="1" x14ac:dyDescent="0.35">
      <c r="A10" t="s">
        <v>356</v>
      </c>
      <c r="B10">
        <v>1</v>
      </c>
      <c r="D10" t="s">
        <v>153</v>
      </c>
      <c r="E10">
        <v>30</v>
      </c>
    </row>
    <row r="11" spans="1:5" hidden="1" x14ac:dyDescent="0.35">
      <c r="A11" t="s">
        <v>345</v>
      </c>
      <c r="B11">
        <v>2</v>
      </c>
    </row>
    <row r="12" spans="1:5" hidden="1" x14ac:dyDescent="0.35">
      <c r="A12" t="s">
        <v>306</v>
      </c>
      <c r="B12">
        <v>2</v>
      </c>
    </row>
    <row r="13" spans="1:5" hidden="1" x14ac:dyDescent="0.35">
      <c r="A13" t="s">
        <v>425</v>
      </c>
      <c r="B13">
        <v>2</v>
      </c>
    </row>
    <row r="14" spans="1:5" hidden="1" x14ac:dyDescent="0.35">
      <c r="A14" t="s">
        <v>307</v>
      </c>
      <c r="B14">
        <v>2</v>
      </c>
    </row>
    <row r="15" spans="1:5" hidden="1" x14ac:dyDescent="0.35">
      <c r="A15" t="s">
        <v>355</v>
      </c>
      <c r="B15">
        <v>2</v>
      </c>
    </row>
    <row r="16" spans="1:5" hidden="1" x14ac:dyDescent="0.35">
      <c r="A16" t="s">
        <v>424</v>
      </c>
      <c r="B16">
        <v>3</v>
      </c>
    </row>
    <row r="17" spans="1:5" hidden="1" x14ac:dyDescent="0.35">
      <c r="A17" t="s">
        <v>352</v>
      </c>
      <c r="B17">
        <v>3</v>
      </c>
    </row>
    <row r="18" spans="1:5" hidden="1" x14ac:dyDescent="0.35">
      <c r="A18" t="s">
        <v>376</v>
      </c>
      <c r="B18">
        <v>3</v>
      </c>
    </row>
    <row r="19" spans="1:5" hidden="1" x14ac:dyDescent="0.35">
      <c r="A19" t="s">
        <v>302</v>
      </c>
      <c r="B19">
        <v>4</v>
      </c>
    </row>
    <row r="20" spans="1:5" hidden="1" x14ac:dyDescent="0.35">
      <c r="A20" t="s">
        <v>342</v>
      </c>
      <c r="B20">
        <v>4</v>
      </c>
    </row>
    <row r="21" spans="1:5" hidden="1" x14ac:dyDescent="0.35">
      <c r="A21" t="s">
        <v>422</v>
      </c>
      <c r="B21">
        <v>4</v>
      </c>
    </row>
    <row r="22" spans="1:5" x14ac:dyDescent="0.35">
      <c r="A22" t="s">
        <v>311</v>
      </c>
      <c r="B22">
        <v>88</v>
      </c>
      <c r="D22" t="s">
        <v>11</v>
      </c>
      <c r="E22" t="s">
        <v>427</v>
      </c>
    </row>
    <row r="23" spans="1:5" x14ac:dyDescent="0.35">
      <c r="A23" t="s">
        <v>368</v>
      </c>
      <c r="B23">
        <v>25</v>
      </c>
      <c r="D23" t="s">
        <v>98</v>
      </c>
      <c r="E23">
        <v>52</v>
      </c>
    </row>
    <row r="24" spans="1:5" x14ac:dyDescent="0.35">
      <c r="A24" t="s">
        <v>347</v>
      </c>
      <c r="B24">
        <v>9</v>
      </c>
      <c r="D24" t="s">
        <v>146</v>
      </c>
      <c r="E24">
        <v>131</v>
      </c>
    </row>
    <row r="25" spans="1:5" x14ac:dyDescent="0.35">
      <c r="A25" t="s">
        <v>399</v>
      </c>
      <c r="B25">
        <v>55</v>
      </c>
      <c r="D25" t="s">
        <v>147</v>
      </c>
      <c r="E25">
        <v>20</v>
      </c>
    </row>
    <row r="26" spans="1:5" x14ac:dyDescent="0.35">
      <c r="A26" t="s">
        <v>411</v>
      </c>
      <c r="B26">
        <v>8</v>
      </c>
      <c r="D26" t="s">
        <v>148</v>
      </c>
      <c r="E26">
        <v>4</v>
      </c>
    </row>
    <row r="27" spans="1:5" x14ac:dyDescent="0.35">
      <c r="A27" t="s">
        <v>330</v>
      </c>
      <c r="B27">
        <v>26</v>
      </c>
      <c r="D27" t="s">
        <v>149</v>
      </c>
      <c r="E27">
        <v>34</v>
      </c>
    </row>
    <row r="28" spans="1:5" x14ac:dyDescent="0.35">
      <c r="A28" t="s">
        <v>370</v>
      </c>
      <c r="B28">
        <v>25</v>
      </c>
      <c r="D28" t="s">
        <v>150</v>
      </c>
      <c r="E28">
        <v>124</v>
      </c>
    </row>
    <row r="29" spans="1:5" x14ac:dyDescent="0.35">
      <c r="A29" t="s">
        <v>337</v>
      </c>
      <c r="B29">
        <v>10</v>
      </c>
      <c r="D29" t="s">
        <v>151</v>
      </c>
      <c r="E29">
        <v>192</v>
      </c>
    </row>
    <row r="30" spans="1:5" x14ac:dyDescent="0.35">
      <c r="A30" t="s">
        <v>421</v>
      </c>
      <c r="B30">
        <v>5</v>
      </c>
      <c r="D30" t="s">
        <v>152</v>
      </c>
      <c r="E30">
        <v>18</v>
      </c>
    </row>
    <row r="31" spans="1:5" x14ac:dyDescent="0.35">
      <c r="A31" t="s">
        <v>266</v>
      </c>
      <c r="B31">
        <v>42</v>
      </c>
      <c r="D31" t="s">
        <v>153</v>
      </c>
      <c r="E31">
        <v>30</v>
      </c>
    </row>
    <row r="32" spans="1:5" x14ac:dyDescent="0.35">
      <c r="A32" t="s">
        <v>351</v>
      </c>
      <c r="B32">
        <v>7</v>
      </c>
    </row>
    <row r="33" spans="1:2" x14ac:dyDescent="0.35">
      <c r="A33" t="s">
        <v>119</v>
      </c>
      <c r="B33">
        <v>13</v>
      </c>
    </row>
    <row r="34" spans="1:2" x14ac:dyDescent="0.35">
      <c r="A34" t="s">
        <v>149</v>
      </c>
      <c r="B34">
        <v>34</v>
      </c>
    </row>
    <row r="35" spans="1:2" x14ac:dyDescent="0.35">
      <c r="A35" t="s">
        <v>380</v>
      </c>
      <c r="B35">
        <v>91</v>
      </c>
    </row>
    <row r="36" spans="1:2" x14ac:dyDescent="0.35">
      <c r="A36" t="s">
        <v>22</v>
      </c>
      <c r="B36">
        <v>56</v>
      </c>
    </row>
    <row r="37" spans="1:2" x14ac:dyDescent="0.35">
      <c r="A37" t="s">
        <v>406</v>
      </c>
      <c r="B37">
        <v>38</v>
      </c>
    </row>
    <row r="38" spans="1:2" x14ac:dyDescent="0.35">
      <c r="A38" t="s">
        <v>418</v>
      </c>
      <c r="B38">
        <v>16</v>
      </c>
    </row>
    <row r="39" spans="1:2" x14ac:dyDescent="0.35">
      <c r="A39" t="s">
        <v>412</v>
      </c>
      <c r="B39">
        <v>17</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CAD8C-ADDB-41B8-A81E-1AAA73BBF52E}">
  <dimension ref="A1:AD97"/>
  <sheetViews>
    <sheetView zoomScale="75" zoomScaleNormal="75" workbookViewId="0">
      <selection activeCell="B8" sqref="B8"/>
    </sheetView>
  </sheetViews>
  <sheetFormatPr defaultRowHeight="14.5" x14ac:dyDescent="0.35"/>
  <cols>
    <col min="1" max="1" width="96.453125" customWidth="1"/>
    <col min="2" max="2" width="21.7265625" customWidth="1"/>
    <col min="3" max="3" width="31.1796875" customWidth="1"/>
  </cols>
  <sheetData>
    <row r="1" spans="1:30" ht="28.5" x14ac:dyDescent="0.65">
      <c r="A1" s="44" t="s">
        <v>7</v>
      </c>
    </row>
    <row r="2" spans="1:30" ht="36.75" customHeight="1" x14ac:dyDescent="0.35">
      <c r="A2" s="10" t="s">
        <v>8</v>
      </c>
    </row>
    <row r="3" spans="1:30" ht="15.5" x14ac:dyDescent="0.35">
      <c r="A3" s="12"/>
    </row>
    <row r="4" spans="1:30" ht="23.5" x14ac:dyDescent="0.55000000000000004">
      <c r="A4" s="43" t="s">
        <v>9</v>
      </c>
      <c r="B4" s="43">
        <f>COUNTIF(Table1[Please select your county],"*County*")</f>
        <v>605</v>
      </c>
    </row>
    <row r="5" spans="1:30" ht="23.5" x14ac:dyDescent="0.55000000000000004">
      <c r="A5" s="9"/>
    </row>
    <row r="6" spans="1:30" ht="18.5" x14ac:dyDescent="0.45">
      <c r="A6" s="6" t="s">
        <v>10</v>
      </c>
    </row>
    <row r="7" spans="1:30" ht="15.5" x14ac:dyDescent="0.35">
      <c r="A7" s="12" t="s">
        <v>11</v>
      </c>
      <c r="B7" s="12" t="s">
        <v>12</v>
      </c>
      <c r="C7" s="12" t="s">
        <v>13</v>
      </c>
      <c r="E7" s="12" t="s">
        <v>14</v>
      </c>
      <c r="R7" s="12" t="s">
        <v>15</v>
      </c>
      <c r="AD7" s="12" t="s">
        <v>16</v>
      </c>
    </row>
    <row r="8" spans="1:30" ht="15.5" x14ac:dyDescent="0.35">
      <c r="A8" s="12" t="s">
        <v>17</v>
      </c>
      <c r="B8" s="12">
        <f>COUNTIF('ADU Homeowner Survey 2025'!B:B,"Alameda County")</f>
        <v>52</v>
      </c>
      <c r="C8" s="13">
        <f>B8/SUM(Table8[Responses by Location])</f>
        <v>8.5950413223140495E-2</v>
      </c>
      <c r="F8" s="7"/>
    </row>
    <row r="9" spans="1:30" ht="15.5" x14ac:dyDescent="0.35">
      <c r="A9" s="12" t="s">
        <v>18</v>
      </c>
      <c r="B9" s="12">
        <f>COUNTIF('ADU Homeowner Survey 2025'!B:B,"Contra Costa County")</f>
        <v>131</v>
      </c>
      <c r="C9" s="13">
        <f>B9/SUM(Table8[Responses by Location])</f>
        <v>0.21652892561983472</v>
      </c>
    </row>
    <row r="10" spans="1:30" ht="15.5" x14ac:dyDescent="0.35">
      <c r="A10" s="12" t="s">
        <v>19</v>
      </c>
      <c r="B10" s="12">
        <f>COUNTIF('ADU Homeowner Survey 2025'!B:B,"Marin County")</f>
        <v>20</v>
      </c>
      <c r="C10" s="13">
        <f>B10/SUM(Table8[Responses by Location])</f>
        <v>3.3057851239669422E-2</v>
      </c>
    </row>
    <row r="11" spans="1:30" ht="15.5" x14ac:dyDescent="0.35">
      <c r="A11" s="12" t="s">
        <v>20</v>
      </c>
      <c r="B11" s="12">
        <f>COUNTIF('ADU Homeowner Survey 2025'!B:B,"Napa County")</f>
        <v>4</v>
      </c>
      <c r="C11" s="13">
        <f>B11/SUM(Table8[Responses by Location])</f>
        <v>6.6115702479338841E-3</v>
      </c>
    </row>
    <row r="12" spans="1:30" ht="15.5" x14ac:dyDescent="0.35">
      <c r="A12" s="12" t="s">
        <v>21</v>
      </c>
      <c r="B12" s="12">
        <f>COUNTIF('ADU Homeowner Survey 2025'!B:B,"San Francisco County")</f>
        <v>34</v>
      </c>
      <c r="C12" s="13">
        <f>B12/SUM(Table8[Responses by Location])</f>
        <v>5.6198347107438019E-2</v>
      </c>
    </row>
    <row r="13" spans="1:30" ht="15.5" x14ac:dyDescent="0.35">
      <c r="A13" s="12" t="s">
        <v>22</v>
      </c>
      <c r="B13" s="12">
        <f>COUNTIF('ADU Homeowner Survey 2025'!B:B,"San Mateo County")</f>
        <v>124</v>
      </c>
      <c r="C13" s="13">
        <f>B13/SUM(Table8[Responses by Location])</f>
        <v>0.20495867768595041</v>
      </c>
    </row>
    <row r="14" spans="1:30" ht="15.5" x14ac:dyDescent="0.35">
      <c r="A14" s="12" t="s">
        <v>23</v>
      </c>
      <c r="B14" s="12">
        <f>COUNTIF('ADU Homeowner Survey 2025'!B:B,"Santa Clara County")</f>
        <v>192</v>
      </c>
      <c r="C14" s="13">
        <f>B14/SUM(Table8[Responses by Location])</f>
        <v>0.31735537190082647</v>
      </c>
    </row>
    <row r="15" spans="1:30" ht="15.5" x14ac:dyDescent="0.35">
      <c r="A15" s="12" t="s">
        <v>24</v>
      </c>
      <c r="B15" s="12">
        <f>COUNTIF('ADU Homeowner Survey 2025'!B:B,"Solano County")</f>
        <v>18</v>
      </c>
      <c r="C15" s="13">
        <f>B15/SUM(Table8[Responses by Location])</f>
        <v>2.9752066115702479E-2</v>
      </c>
    </row>
    <row r="16" spans="1:30" ht="15.5" x14ac:dyDescent="0.35">
      <c r="A16" s="12" t="s">
        <v>25</v>
      </c>
      <c r="B16" s="12">
        <f>COUNTIF('ADU Homeowner Survey 2025'!B:B,"Sonoma County")</f>
        <v>30</v>
      </c>
      <c r="C16" s="13">
        <f>B16/SUM(Table8[Responses by Location])</f>
        <v>4.9586776859504134E-2</v>
      </c>
    </row>
    <row r="18" spans="1:3" ht="18.5" x14ac:dyDescent="0.45">
      <c r="A18" s="6" t="s">
        <v>26</v>
      </c>
    </row>
    <row r="19" spans="1:3" ht="15.5" x14ac:dyDescent="0.35">
      <c r="A19" s="12" t="s">
        <v>27</v>
      </c>
      <c r="B19" s="12" t="s">
        <v>28</v>
      </c>
      <c r="C19" s="12" t="s">
        <v>13</v>
      </c>
    </row>
    <row r="20" spans="1:3" ht="15.5" x14ac:dyDescent="0.35">
      <c r="A20" s="12" t="s">
        <v>29</v>
      </c>
      <c r="B20" s="12">
        <f>COUNTIF('ADU Homeowner Survey 2025'!K:K,"*Family*")</f>
        <v>326</v>
      </c>
      <c r="C20" s="13">
        <f>B20/(COUNTA('ADU Homeowner Survey 2025'!K:K)-1)</f>
        <v>0.53884297520661162</v>
      </c>
    </row>
    <row r="21" spans="1:3" ht="15.5" x14ac:dyDescent="0.35">
      <c r="A21" s="12" t="s">
        <v>30</v>
      </c>
      <c r="B21" s="12">
        <f>COUNTIF('ADU Homeowner Survey 2025'!K:K,"*Someone else*")</f>
        <v>197</v>
      </c>
      <c r="C21" s="13">
        <f>B21/(COUNTA('ADU Homeowner Survey 2025'!K:K)-1)</f>
        <v>0.32561983471074379</v>
      </c>
    </row>
    <row r="22" spans="1:3" ht="15.5" x14ac:dyDescent="0.35">
      <c r="A22" s="12" t="s">
        <v>31</v>
      </c>
      <c r="B22" s="12">
        <f>COUNTIF('ADU Homeowner Survey 2025'!K:K,"*Myself*")</f>
        <v>108</v>
      </c>
      <c r="C22" s="13">
        <f>B22/(COUNTA('ADU Homeowner Survey 2025'!K:K)-1)</f>
        <v>0.17851239669421487</v>
      </c>
    </row>
    <row r="23" spans="1:3" ht="15.5" x14ac:dyDescent="0.35">
      <c r="A23" s="12" t="s">
        <v>32</v>
      </c>
      <c r="B23" s="12">
        <f>COUNTIF('ADU Homeowner Survey 2025'!K:K,"*Friend*")</f>
        <v>43</v>
      </c>
      <c r="C23" s="13">
        <f>B23/(COUNTA('ADU Homeowner Survey 2025'!K:K)-1)</f>
        <v>7.1074380165289261E-2</v>
      </c>
    </row>
    <row r="24" spans="1:3" ht="15.5" x14ac:dyDescent="0.35">
      <c r="A24" s="12" t="s">
        <v>33</v>
      </c>
      <c r="B24" s="12">
        <f>COUNTIF('ADU Homeowner Survey 2025'!K:K,"*The ADU will not be used for housing*")</f>
        <v>43</v>
      </c>
      <c r="C24" s="13">
        <f>B24/(COUNTA('ADU Homeowner Survey 2025'!K:K)-1)</f>
        <v>7.1074380165289261E-2</v>
      </c>
    </row>
    <row r="25" spans="1:3" ht="15.5" x14ac:dyDescent="0.35">
      <c r="A25" s="12" t="s">
        <v>34</v>
      </c>
      <c r="B25" s="12">
        <f>COUNTIF('ADU Homeowner Survey 2025'!K:K,"*no response*")</f>
        <v>0</v>
      </c>
      <c r="C25" s="13">
        <f>B25/(COUNTA('ADU Homeowner Survey 2025'!K:K)-1)</f>
        <v>0</v>
      </c>
    </row>
    <row r="26" spans="1:3" ht="15.5" x14ac:dyDescent="0.35">
      <c r="A26" s="12"/>
      <c r="B26" s="12"/>
      <c r="C26" s="13"/>
    </row>
    <row r="27" spans="1:3" ht="18.5" x14ac:dyDescent="0.45">
      <c r="A27" s="6" t="s">
        <v>35</v>
      </c>
      <c r="C27" s="4"/>
    </row>
    <row r="28" spans="1:3" ht="15.5" x14ac:dyDescent="0.35">
      <c r="A28" s="12" t="s">
        <v>36</v>
      </c>
      <c r="B28" s="12" t="s">
        <v>37</v>
      </c>
      <c r="C28" s="13" t="s">
        <v>13</v>
      </c>
    </row>
    <row r="29" spans="1:3" ht="15.5" x14ac:dyDescent="0.35">
      <c r="A29" s="12" t="s">
        <v>38</v>
      </c>
      <c r="B29" s="12">
        <f>COUNTIF('ADU Homeowner Survey 2025'!O:O,"Yes, this unit will be used for housing.")</f>
        <v>562</v>
      </c>
      <c r="C29" s="13">
        <f>B29/SUM(Table1443[Count of Responses])</f>
        <v>0.92892561983471078</v>
      </c>
    </row>
    <row r="30" spans="1:3" ht="15.5" x14ac:dyDescent="0.35">
      <c r="A30" s="12" t="s">
        <v>39</v>
      </c>
      <c r="B30" s="12">
        <f>COUNTIF('ADU Homeowner Survey 2025'!O:O,"No, this unit will not be used for housing.")</f>
        <v>43</v>
      </c>
      <c r="C30" s="13">
        <f>B30/SUM(Table1443[Count of Responses])</f>
        <v>7.1074380165289261E-2</v>
      </c>
    </row>
    <row r="31" spans="1:3" x14ac:dyDescent="0.35">
      <c r="C31" s="4"/>
    </row>
    <row r="32" spans="1:3" ht="18.5" x14ac:dyDescent="0.45">
      <c r="A32" s="6" t="s">
        <v>40</v>
      </c>
      <c r="C32" s="4"/>
    </row>
    <row r="33" spans="1:30" ht="15.5" x14ac:dyDescent="0.35">
      <c r="A33" s="12" t="s">
        <v>41</v>
      </c>
      <c r="B33" s="12" t="s">
        <v>37</v>
      </c>
      <c r="C33" s="13" t="s">
        <v>13</v>
      </c>
    </row>
    <row r="34" spans="1:30" ht="15.5" x14ac:dyDescent="0.35">
      <c r="A34" s="12" t="s">
        <v>42</v>
      </c>
      <c r="B34" s="12">
        <f>COUNTIF('ADU Homeowner Survey 2025'!Q:Q,"0 (studio)")</f>
        <v>125</v>
      </c>
      <c r="C34" s="13">
        <f>B34/SUM(Table14[Count of Responses])</f>
        <v>0.20661157024793389</v>
      </c>
    </row>
    <row r="35" spans="1:30" ht="15.5" x14ac:dyDescent="0.35">
      <c r="A35" s="12" t="s">
        <v>43</v>
      </c>
      <c r="B35" s="12">
        <f>COUNTIF('ADU Homeowner Survey 2025'!Q:Q,"1")</f>
        <v>263</v>
      </c>
      <c r="C35" s="13">
        <f>B35/SUM(Table14[Count of Responses])</f>
        <v>0.43471074380165287</v>
      </c>
    </row>
    <row r="36" spans="1:30" ht="15.5" x14ac:dyDescent="0.35">
      <c r="A36" s="12" t="s">
        <v>44</v>
      </c>
      <c r="B36" s="12">
        <f>COUNTIF('ADU Homeowner Survey 2025'!Q:Q,"2")</f>
        <v>204</v>
      </c>
      <c r="C36" s="13">
        <f>B36/SUM(Table14[Count of Responses])</f>
        <v>0.33719008264462808</v>
      </c>
    </row>
    <row r="37" spans="1:30" ht="15.5" x14ac:dyDescent="0.35">
      <c r="A37" s="12" t="s">
        <v>45</v>
      </c>
      <c r="B37" s="12">
        <f>COUNTIF('ADU Homeowner Survey 2025'!Q:Q,"3 or more")</f>
        <v>13</v>
      </c>
      <c r="C37" s="13">
        <f>B37/SUM(Table14[Count of Responses])</f>
        <v>2.1487603305785124E-2</v>
      </c>
    </row>
    <row r="39" spans="1:30" ht="18.5" x14ac:dyDescent="0.45">
      <c r="A39" s="6" t="s">
        <v>46</v>
      </c>
    </row>
    <row r="40" spans="1:30" ht="15.5" x14ac:dyDescent="0.35">
      <c r="A40" s="12" t="s">
        <v>47</v>
      </c>
      <c r="B40" s="12" t="s">
        <v>37</v>
      </c>
      <c r="C40" s="12" t="s">
        <v>13</v>
      </c>
      <c r="E40" s="12" t="s">
        <v>48</v>
      </c>
      <c r="R40" s="12" t="s">
        <v>49</v>
      </c>
      <c r="AD40" s="12" t="s">
        <v>50</v>
      </c>
    </row>
    <row r="41" spans="1:30" ht="15.5" x14ac:dyDescent="0.35">
      <c r="A41" s="12" t="s">
        <v>51</v>
      </c>
      <c r="B41" s="12">
        <f>COUNTIFS('ADU Homeowner Survey 2025'!P:P,"&gt;1",'ADU Homeowner Survey 2025'!P:P,"&lt;=500")</f>
        <v>244</v>
      </c>
      <c r="C41" s="13">
        <f>B41/SUM(Table10[Count of Responses])</f>
        <v>0.40330578512396692</v>
      </c>
    </row>
    <row r="42" spans="1:30" ht="15.5" x14ac:dyDescent="0.35">
      <c r="A42" s="12" t="s">
        <v>52</v>
      </c>
      <c r="B42" s="12">
        <f>COUNTIFS('ADU Homeowner Survey 2025'!P:P,"&gt;500",'ADU Homeowner Survey 2025'!P:P,"&lt;=750")</f>
        <v>198</v>
      </c>
      <c r="C42" s="13">
        <f>B42/SUM(Table10[Count of Responses])</f>
        <v>0.32727272727272727</v>
      </c>
    </row>
    <row r="43" spans="1:30" ht="15.5" x14ac:dyDescent="0.35">
      <c r="A43" s="12" t="s">
        <v>53</v>
      </c>
      <c r="B43" s="12">
        <f>COUNTIFS('ADU Homeowner Survey 2025'!P:P,"&gt;750",'ADU Homeowner Survey 2025'!P:P,"&lt;=1000")</f>
        <v>129</v>
      </c>
      <c r="C43" s="13">
        <f>B43/SUM(Table10[Count of Responses])</f>
        <v>0.21322314049586777</v>
      </c>
    </row>
    <row r="44" spans="1:30" ht="15.5" x14ac:dyDescent="0.35">
      <c r="A44" s="12" t="s">
        <v>54</v>
      </c>
      <c r="B44" s="12">
        <f>COUNTIFS('ADU Homeowner Survey 2025'!P:P,"&gt;1000",'ADU Homeowner Survey 2025'!P:P,"&lt;=1250")</f>
        <v>21</v>
      </c>
      <c r="C44" s="13">
        <f>B44/SUM(Table10[Count of Responses])</f>
        <v>3.4710743801652892E-2</v>
      </c>
    </row>
    <row r="45" spans="1:30" ht="15.5" x14ac:dyDescent="0.35">
      <c r="A45" s="12" t="s">
        <v>55</v>
      </c>
      <c r="B45" s="12">
        <f>COUNTIFS('ADU Homeowner Survey 2025'!P:P,"&gt;1251")</f>
        <v>9</v>
      </c>
      <c r="C45" s="13">
        <f>B45/SUM(Table10[Count of Responses])</f>
        <v>1.487603305785124E-2</v>
      </c>
    </row>
    <row r="46" spans="1:30" ht="15.5" x14ac:dyDescent="0.35">
      <c r="A46" s="12" t="s">
        <v>34</v>
      </c>
      <c r="B46" s="12">
        <f>COUNTIFS('ADU Homeowner Survey 2025'!P:P,"=0")</f>
        <v>4</v>
      </c>
      <c r="C46" s="13">
        <f>B46/SUM(Table10[Count of Responses])</f>
        <v>6.6115702479338841E-3</v>
      </c>
    </row>
    <row r="48" spans="1:30" ht="18.5" x14ac:dyDescent="0.45">
      <c r="A48" s="6" t="s">
        <v>56</v>
      </c>
    </row>
    <row r="49" spans="1:3" ht="15.5" x14ac:dyDescent="0.35">
      <c r="A49" s="12" t="s">
        <v>57</v>
      </c>
      <c r="B49" s="12" t="s">
        <v>58</v>
      </c>
      <c r="C49" s="12" t="s">
        <v>59</v>
      </c>
    </row>
    <row r="50" spans="1:3" ht="15.5" x14ac:dyDescent="0.35">
      <c r="A50" s="30" t="s">
        <v>60</v>
      </c>
      <c r="B50" s="41">
        <f>SUM('2025 Affordability by County'!C6,'2025 Affordability by County'!C18,'2025 Affordability by County'!C30,'2025 Affordability by County'!C42,'2025 Affordability by County'!C54,'2025 Affordability by County'!C66,'2025 Affordability by County'!C78,'2025 Affordability by County'!C90,'2025 Affordability by County'!C102)</f>
        <v>261.54999408817633</v>
      </c>
      <c r="C50" s="13">
        <f>Table11[[#This Row],[Count of Units]]/SUM(Table11[Count of Units])</f>
        <v>0.51792078037262645</v>
      </c>
    </row>
    <row r="51" spans="1:3" ht="15.5" x14ac:dyDescent="0.35">
      <c r="A51" s="12" t="s">
        <v>61</v>
      </c>
      <c r="B51" s="41">
        <f>SUM('2025 Affordability by County'!C7,'2025 Affordability by County'!C19,'2025 Affordability by County'!C31,'2025 Affordability by County'!C43,'2025 Affordability by County'!C55,'2025 Affordability by County'!C67,'2025 Affordability by County'!C79,'2025 Affordability by County'!C91,'2025 Affordability by County'!C103)</f>
        <v>70.530166232464936</v>
      </c>
      <c r="C51" s="13">
        <f>Table11[[#This Row],[Count of Units]]/SUM(Table11[Count of Units])</f>
        <v>0.13966369550983157</v>
      </c>
    </row>
    <row r="52" spans="1:3" ht="15.5" x14ac:dyDescent="0.35">
      <c r="A52" s="12" t="s">
        <v>62</v>
      </c>
      <c r="B52" s="41">
        <f>SUM('2025 Affordability by County'!C8,'2025 Affordability by County'!C20,'2025 Affordability by County'!C32,'2025 Affordability by County'!C44,'2025 Affordability by County'!C56,'2025 Affordability by County'!C68,'2025 Affordability by County'!C80,'2025 Affordability by County'!C92,'2025 Affordability by County'!C104)</f>
        <v>121.9503006012024</v>
      </c>
      <c r="C52" s="13">
        <f>Table11[[#This Row],[Count of Units]]/SUM(Table11[Count of Units])</f>
        <v>0.24148574376475726</v>
      </c>
    </row>
    <row r="53" spans="1:3" ht="15.5" x14ac:dyDescent="0.35">
      <c r="A53" s="12" t="s">
        <v>63</v>
      </c>
      <c r="B53" s="41">
        <f>SUM('2025 Affordability by County'!C9,'2025 Affordability by County'!C21,'2025 Affordability by County'!C33,'2025 Affordability by County'!C45,'2025 Affordability by County'!C57,'2025 Affordability by County'!C69,'2025 Affordability by County'!C81,'2025 Affordability by County'!C93,'2025 Affordability by County'!C105)</f>
        <v>49.935470941883771</v>
      </c>
      <c r="C53" s="13">
        <f>Table11[[#This Row],[Count of Units]]/SUM(Table11[Count of Units])</f>
        <v>9.8882120676997573E-2</v>
      </c>
    </row>
    <row r="54" spans="1:3" ht="15.5" x14ac:dyDescent="0.35">
      <c r="A54" s="12" t="s">
        <v>64</v>
      </c>
      <c r="B54" s="41">
        <f>SUM('2025 Affordability by County'!C10,'2025 Affordability by County'!C22,'2025 Affordability by County'!C34,'2025 Affordability by County'!C46,'2025 Affordability by County'!C58,'2025 Affordability by County'!C70,'2025 Affordability by County'!C82,'2025 Affordability by County'!C94,'2025 Affordability by County'!C106)</f>
        <v>1.0340681362725452</v>
      </c>
      <c r="C54" s="13">
        <f>Table11[[#This Row],[Count of Units]]/SUM(Table11[Count of Units])</f>
        <v>2.0476596757872186E-3</v>
      </c>
    </row>
    <row r="56" spans="1:3" ht="18.5" x14ac:dyDescent="0.45">
      <c r="A56" s="6" t="s">
        <v>65</v>
      </c>
    </row>
    <row r="57" spans="1:3" ht="15.5" x14ac:dyDescent="0.35">
      <c r="A57" s="12" t="s">
        <v>66</v>
      </c>
      <c r="B57" s="12" t="s">
        <v>37</v>
      </c>
      <c r="C57" s="12" t="s">
        <v>13</v>
      </c>
    </row>
    <row r="58" spans="1:3" ht="15.5" x14ac:dyDescent="0.35">
      <c r="A58" s="12" t="s">
        <v>67</v>
      </c>
      <c r="B58" s="12">
        <f>COUNTIFS('ADU Homeowner Survey 2025'!R:R,"$1 - $1,000")</f>
        <v>34</v>
      </c>
      <c r="C58" s="13">
        <f>B58/SUM(Table103[Count of Responses])</f>
        <v>5.6198347107438019E-2</v>
      </c>
    </row>
    <row r="59" spans="1:3" ht="15.5" x14ac:dyDescent="0.35">
      <c r="A59" s="12" t="s">
        <v>68</v>
      </c>
      <c r="B59" s="12">
        <f>COUNTIFS('ADU Homeowner Survey 2025'!R:R,"$1,001 - $1,500")</f>
        <v>50</v>
      </c>
      <c r="C59" s="13">
        <f>B59/SUM(Table103[Count of Responses])</f>
        <v>8.2644628099173556E-2</v>
      </c>
    </row>
    <row r="60" spans="1:3" ht="15.5" x14ac:dyDescent="0.35">
      <c r="A60" s="12" t="s">
        <v>69</v>
      </c>
      <c r="B60" s="12">
        <f>COUNTIFS('ADU Homeowner Survey 2025'!R:R,"$1,501 - $2,000")</f>
        <v>53</v>
      </c>
      <c r="C60" s="13">
        <f>B60/SUM(Table103[Count of Responses])</f>
        <v>8.7603305785123972E-2</v>
      </c>
    </row>
    <row r="61" spans="1:3" ht="15.5" x14ac:dyDescent="0.35">
      <c r="A61" s="12" t="s">
        <v>70</v>
      </c>
      <c r="B61" s="12">
        <f>COUNTIFS('ADU Homeowner Survey 2025'!R:R,"$2,001 - $2,500")</f>
        <v>51</v>
      </c>
      <c r="C61" s="13">
        <f>B61/SUM(Table103[Count of Responses])</f>
        <v>8.4297520661157019E-2</v>
      </c>
    </row>
    <row r="62" spans="1:3" ht="15.5" x14ac:dyDescent="0.35">
      <c r="A62" s="12" t="s">
        <v>71</v>
      </c>
      <c r="B62" s="12">
        <f>COUNTIFS('ADU Homeowner Survey 2025'!R:R,"$2,501 - $3,000")</f>
        <v>52</v>
      </c>
      <c r="C62" s="13">
        <f>B62/SUM(Table103[Count of Responses])</f>
        <v>8.5950413223140495E-2</v>
      </c>
    </row>
    <row r="63" spans="1:3" ht="15.5" x14ac:dyDescent="0.35">
      <c r="A63" s="12" t="s">
        <v>72</v>
      </c>
      <c r="B63" s="12">
        <f>COUNTIFS('ADU Homeowner Survey 2025'!R:R,"$3,001 - $3,500")</f>
        <v>19</v>
      </c>
      <c r="C63" s="13">
        <f>B63/SUM(Table103[Count of Responses])</f>
        <v>3.1404958677685953E-2</v>
      </c>
    </row>
    <row r="64" spans="1:3" ht="15.5" x14ac:dyDescent="0.35">
      <c r="A64" s="12" t="s">
        <v>73</v>
      </c>
      <c r="B64" s="12">
        <f>COUNTIFS('ADU Homeowner Survey 2025'!R:R,"$3,501 - $4,000")</f>
        <v>13</v>
      </c>
      <c r="C64" s="13">
        <f>B64/SUM(Table103[Count of Responses])</f>
        <v>2.1487603305785124E-2</v>
      </c>
    </row>
    <row r="65" spans="1:18" ht="15.5" x14ac:dyDescent="0.35">
      <c r="A65" s="12" t="s">
        <v>74</v>
      </c>
      <c r="B65" s="12">
        <f>COUNTIFS('ADU Homeowner Survey 2025'!R:R,"$4,001 - $4,500")</f>
        <v>7</v>
      </c>
      <c r="C65" s="13">
        <f>B65/SUM(Table103[Count of Responses])</f>
        <v>1.1570247933884297E-2</v>
      </c>
    </row>
    <row r="66" spans="1:18" ht="15.5" x14ac:dyDescent="0.35">
      <c r="A66" s="12" t="s">
        <v>75</v>
      </c>
      <c r="B66" s="12">
        <f>COUNTIFS('ADU Homeowner Survey 2025'!R:R,"More than $4,500")</f>
        <v>1</v>
      </c>
      <c r="C66" s="13">
        <f>B66/SUM(Table103[Count of Responses])</f>
        <v>1.652892561983471E-3</v>
      </c>
    </row>
    <row r="67" spans="1:18" ht="15.5" x14ac:dyDescent="0.35">
      <c r="A67" s="12" t="s">
        <v>76</v>
      </c>
      <c r="B67" s="12">
        <f>COUNTIFS('ADU Homeowner Survey 2025'!R:R,"Not planning to use for housing")</f>
        <v>43</v>
      </c>
      <c r="C67" s="13">
        <f>B67/SUM(Table103[Count of Responses])</f>
        <v>7.1074380165289261E-2</v>
      </c>
      <c r="E67" s="12" t="s">
        <v>77</v>
      </c>
      <c r="R67" s="12" t="s">
        <v>78</v>
      </c>
    </row>
    <row r="68" spans="1:18" ht="15.5" x14ac:dyDescent="0.35">
      <c r="A68" s="12" t="s">
        <v>79</v>
      </c>
      <c r="B68" s="12">
        <f>COUNTIFS('ADU Homeowner Survey 2025'!R:R,"Not planning to charge rent")</f>
        <v>225</v>
      </c>
      <c r="C68" s="13">
        <f>B68/SUM(Table103[Count of Responses])</f>
        <v>0.37190082644628097</v>
      </c>
    </row>
    <row r="69" spans="1:18" ht="15.5" x14ac:dyDescent="0.35">
      <c r="A69" s="12" t="s">
        <v>80</v>
      </c>
      <c r="B69" s="12">
        <f>COUNTIFS('ADU Homeowner Survey 2025'!R:R,"Decline to state")</f>
        <v>57</v>
      </c>
      <c r="C69" s="13">
        <f>B69/SUM(Table103[Count of Responses])</f>
        <v>9.4214876033057851E-2</v>
      </c>
    </row>
    <row r="71" spans="1:18" ht="18.5" x14ac:dyDescent="0.45">
      <c r="A71" s="6" t="s">
        <v>81</v>
      </c>
    </row>
    <row r="72" spans="1:18" ht="15.5" x14ac:dyDescent="0.35">
      <c r="A72" s="12" t="s">
        <v>82</v>
      </c>
      <c r="B72" s="12" t="s">
        <v>37</v>
      </c>
      <c r="C72" s="12" t="s">
        <v>13</v>
      </c>
    </row>
    <row r="73" spans="1:18" ht="15.5" x14ac:dyDescent="0.35">
      <c r="A73" s="12" t="s">
        <v>83</v>
      </c>
      <c r="B73" s="12">
        <f>COUNTIF('ADU Homeowner Survey 2025'!S:S,"*Not*")</f>
        <v>280</v>
      </c>
      <c r="C73" s="13">
        <f t="shared" ref="C73:C78" si="0">B73/B$4</f>
        <v>0.46280991735537191</v>
      </c>
    </row>
    <row r="74" spans="1:18" ht="15.5" x14ac:dyDescent="0.35">
      <c r="A74" s="12" t="s">
        <v>84</v>
      </c>
      <c r="B74" s="12">
        <f>COUNTIF('ADU Homeowner Survey 2025'!S:S,"*No utilities*")</f>
        <v>132</v>
      </c>
      <c r="C74" s="13">
        <f t="shared" si="0"/>
        <v>0.21818181818181817</v>
      </c>
    </row>
    <row r="75" spans="1:18" ht="15.5" x14ac:dyDescent="0.35">
      <c r="A75" s="12" t="s">
        <v>85</v>
      </c>
      <c r="B75" s="12">
        <f>COUNTIF('ADU Homeowner Survey 2025'!S:S,"*Electricity*")</f>
        <v>193</v>
      </c>
      <c r="C75" s="13">
        <f t="shared" si="0"/>
        <v>0.31900826446280994</v>
      </c>
    </row>
    <row r="76" spans="1:18" ht="15.5" x14ac:dyDescent="0.35">
      <c r="A76" s="12" t="s">
        <v>86</v>
      </c>
      <c r="B76" s="12">
        <f>COUNTIF('ADU Homeowner Survey 2025'!S:S,"*Gas*")</f>
        <v>109</v>
      </c>
      <c r="C76" s="13">
        <f t="shared" si="0"/>
        <v>0.18016528925619835</v>
      </c>
    </row>
    <row r="77" spans="1:18" ht="15.5" x14ac:dyDescent="0.35">
      <c r="A77" s="12" t="s">
        <v>87</v>
      </c>
      <c r="B77" s="12">
        <f>COUNTIF('ADU Homeowner Survey 2025'!S:S,"*Trash*")</f>
        <v>94</v>
      </c>
      <c r="C77" s="13">
        <f t="shared" si="0"/>
        <v>0.15537190082644628</v>
      </c>
    </row>
    <row r="78" spans="1:18" ht="15.5" x14ac:dyDescent="0.35">
      <c r="A78" s="12" t="s">
        <v>88</v>
      </c>
      <c r="B78" s="12">
        <f>COUNTIF('ADU Homeowner Survey 2025'!S:S,"*Water*")</f>
        <v>131</v>
      </c>
      <c r="C78" s="13">
        <f t="shared" si="0"/>
        <v>0.21652892561983472</v>
      </c>
    </row>
    <row r="80" spans="1:18" ht="18.5" x14ac:dyDescent="0.45">
      <c r="A80" s="6" t="s">
        <v>89</v>
      </c>
    </row>
    <row r="81" spans="1:3" ht="15.5" x14ac:dyDescent="0.35">
      <c r="A81" s="12" t="s">
        <v>90</v>
      </c>
      <c r="B81" s="12" t="s">
        <v>37</v>
      </c>
      <c r="C81" s="12" t="s">
        <v>13</v>
      </c>
    </row>
    <row r="82" spans="1:3" ht="15.5" x14ac:dyDescent="0.35">
      <c r="A82" s="12" t="s">
        <v>91</v>
      </c>
      <c r="B82" s="12">
        <f>COUNTIF(Table1[Are you in a city/town/county that requires you to fill out this survey?],"Yes")</f>
        <v>359</v>
      </c>
      <c r="C82" s="13">
        <f>B82/SUM(Table15[Count of Responses])</f>
        <v>0.69708737864077674</v>
      </c>
    </row>
    <row r="83" spans="1:3" ht="15.5" x14ac:dyDescent="0.35">
      <c r="A83" s="12" t="s">
        <v>92</v>
      </c>
      <c r="B83" s="12">
        <f>COUNTIF(Table1[Are you in a city/town/county that requires you to fill out this survey?],"No")</f>
        <v>62</v>
      </c>
      <c r="C83" s="13">
        <f>B83/SUM(Table15[Count of Responses])</f>
        <v>0.12038834951456311</v>
      </c>
    </row>
    <row r="84" spans="1:3" ht="15.5" x14ac:dyDescent="0.35">
      <c r="A84" s="12" t="s">
        <v>83</v>
      </c>
      <c r="B84" s="12">
        <f>COUNTIF(Table1[Are you in a city/town/county that requires you to fill out this survey?],"Not Sure")</f>
        <v>94</v>
      </c>
      <c r="C84" s="13">
        <f>B84/SUM(Table15[Count of Responses])</f>
        <v>0.18252427184466019</v>
      </c>
    </row>
    <row r="97" spans="5:18" ht="15.5" x14ac:dyDescent="0.35">
      <c r="E97" s="12" t="s">
        <v>93</v>
      </c>
      <c r="R97" s="12" t="s">
        <v>94</v>
      </c>
    </row>
  </sheetData>
  <sheetProtection sheet="1" objects="1" scenarios="1" sort="0"/>
  <pageMargins left="0.7" right="0.7" top="0.75" bottom="0.75" header="0.3" footer="0.3"/>
  <pageSetup orientation="portrait" horizontalDpi="1200" verticalDpi="1200" r:id="rId1"/>
  <ignoredErrors>
    <ignoredError sqref="B50:B54 B30 B58:B69" calculatedColumn="1"/>
  </ignoredErrors>
  <drawing r:id="rId2"/>
  <tableParts count="9">
    <tablePart r:id="rId3"/>
    <tablePart r:id="rId4"/>
    <tablePart r:id="rId5"/>
    <tablePart r:id="rId6"/>
    <tablePart r:id="rId7"/>
    <tablePart r:id="rId8"/>
    <tablePart r:id="rId9"/>
    <tablePart r:id="rId10"/>
    <tablePart r:id="rId1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7814-3B6D-4476-A79A-ED89F59C3738}">
  <dimension ref="A1:AI69"/>
  <sheetViews>
    <sheetView topLeftCell="A11" zoomScale="75" zoomScaleNormal="75" workbookViewId="0">
      <selection activeCell="A5" sqref="A5"/>
    </sheetView>
  </sheetViews>
  <sheetFormatPr defaultRowHeight="14.5" x14ac:dyDescent="0.35"/>
  <cols>
    <col min="1" max="1" width="94.81640625" customWidth="1"/>
    <col min="2" max="2" width="21.7265625" customWidth="1"/>
    <col min="3" max="3" width="31.1796875" customWidth="1"/>
  </cols>
  <sheetData>
    <row r="1" spans="1:35" ht="28.5" x14ac:dyDescent="0.65">
      <c r="A1" s="44" t="s">
        <v>95</v>
      </c>
    </row>
    <row r="2" spans="1:35" ht="49.5" customHeight="1" x14ac:dyDescent="0.35">
      <c r="A2" s="10" t="s">
        <v>96</v>
      </c>
      <c r="C2" s="1"/>
    </row>
    <row r="3" spans="1:35" ht="18.75" customHeight="1" thickBot="1" x14ac:dyDescent="0.4">
      <c r="A3" s="1"/>
      <c r="C3" s="1"/>
    </row>
    <row r="4" spans="1:35" ht="18.75" customHeight="1" x14ac:dyDescent="0.55000000000000004">
      <c r="A4" s="48" t="s">
        <v>97</v>
      </c>
      <c r="C4" s="1"/>
    </row>
    <row r="5" spans="1:35" ht="18.75" customHeight="1" thickBot="1" x14ac:dyDescent="0.6">
      <c r="A5" s="54" t="s">
        <v>98</v>
      </c>
      <c r="C5" s="1"/>
    </row>
    <row r="7" spans="1:35" ht="23.5" x14ac:dyDescent="0.55000000000000004">
      <c r="A7" s="49" t="s">
        <v>99</v>
      </c>
      <c r="B7" s="49">
        <f>COUNTIF('ADU Homeowner Survey 2025'!B:B,'County Overview'!A5)</f>
        <v>52</v>
      </c>
    </row>
    <row r="9" spans="1:35" ht="18.5" x14ac:dyDescent="0.45">
      <c r="A9" s="6" t="s">
        <v>100</v>
      </c>
    </row>
    <row r="10" spans="1:35" ht="15.5" x14ac:dyDescent="0.35">
      <c r="A10" s="12" t="s">
        <v>27</v>
      </c>
      <c r="B10" s="12" t="s">
        <v>28</v>
      </c>
      <c r="C10" s="12" t="s">
        <v>13</v>
      </c>
      <c r="E10" s="12" t="s">
        <v>101</v>
      </c>
      <c r="Q10" s="12" t="s">
        <v>102</v>
      </c>
      <c r="AC10" s="56" t="s">
        <v>103</v>
      </c>
      <c r="AD10" s="56"/>
      <c r="AE10" s="56"/>
      <c r="AF10" s="56"/>
      <c r="AG10" s="56"/>
      <c r="AH10" s="56"/>
      <c r="AI10" s="56"/>
    </row>
    <row r="11" spans="1:35" ht="15.5" x14ac:dyDescent="0.35">
      <c r="A11" s="12" t="s">
        <v>29</v>
      </c>
      <c r="B11" s="12">
        <f>COUNTIFS('ADU Homeowner Survey 2025'!B:B,'County Overview'!A$5,'ADU Homeowner Survey 2025'!K:K,"*Family*")</f>
        <v>29</v>
      </c>
      <c r="C11" s="13">
        <f>B11/B$7</f>
        <v>0.55769230769230771</v>
      </c>
    </row>
    <row r="12" spans="1:35" ht="15.5" x14ac:dyDescent="0.35">
      <c r="A12" s="12" t="s">
        <v>30</v>
      </c>
      <c r="B12" s="12">
        <f>COUNTIFS('ADU Homeowner Survey 2025'!B:B,'County Overview'!A$5,'ADU Homeowner Survey 2025'!K:K,"*Someone else*")</f>
        <v>16</v>
      </c>
      <c r="C12" s="13">
        <f>B12/B$7</f>
        <v>0.30769230769230771</v>
      </c>
    </row>
    <row r="13" spans="1:35" ht="15.5" x14ac:dyDescent="0.35">
      <c r="A13" s="12" t="s">
        <v>31</v>
      </c>
      <c r="B13" s="12">
        <f>COUNTIFS('ADU Homeowner Survey 2025'!B:B,'County Overview'!A$5,'ADU Homeowner Survey 2025'!K:K,"*Myself*")</f>
        <v>6</v>
      </c>
      <c r="C13" s="13">
        <f t="shared" ref="C13:C15" si="0">B13/B$7</f>
        <v>0.11538461538461539</v>
      </c>
    </row>
    <row r="14" spans="1:35" ht="15.5" x14ac:dyDescent="0.35">
      <c r="A14" s="12" t="s">
        <v>32</v>
      </c>
      <c r="B14" s="12">
        <f>COUNTIFS('ADU Homeowner Survey 2025'!B:B,'County Overview'!A$5,'ADU Homeowner Survey 2025'!K:K,"*Friend*")</f>
        <v>2</v>
      </c>
      <c r="C14" s="13">
        <f t="shared" si="0"/>
        <v>3.8461538461538464E-2</v>
      </c>
    </row>
    <row r="15" spans="1:35" ht="15.5" x14ac:dyDescent="0.35">
      <c r="A15" s="12" t="s">
        <v>33</v>
      </c>
      <c r="B15" s="12">
        <f>COUNTIFS('ADU Homeowner Survey 2025'!B:B,'County Overview'!A$5,'ADU Homeowner Survey 2025'!K:K,"*The ADU will not be used for housing*")</f>
        <v>6</v>
      </c>
      <c r="C15" s="13">
        <f t="shared" si="0"/>
        <v>0.11538461538461539</v>
      </c>
    </row>
    <row r="16" spans="1:35" ht="15.5" x14ac:dyDescent="0.35">
      <c r="A16" s="12"/>
      <c r="B16" s="12"/>
      <c r="C16" s="13"/>
    </row>
    <row r="17" spans="1:18" ht="18.5" x14ac:dyDescent="0.45">
      <c r="A17" s="6" t="s">
        <v>104</v>
      </c>
      <c r="C17" s="4"/>
    </row>
    <row r="18" spans="1:18" ht="15.5" x14ac:dyDescent="0.35">
      <c r="A18" s="12" t="s">
        <v>36</v>
      </c>
      <c r="B18" s="12" t="s">
        <v>37</v>
      </c>
      <c r="C18" s="13" t="s">
        <v>13</v>
      </c>
    </row>
    <row r="19" spans="1:18" ht="15.5" x14ac:dyDescent="0.35">
      <c r="A19" s="12" t="s">
        <v>38</v>
      </c>
      <c r="B19" s="12">
        <f>COUNTIFS('ADU Homeowner Survey 2025'!B:B,'County Overview'!A$5,'ADU Homeowner Survey 2025'!O:O,"Yes, this unit will be used for housing.")</f>
        <v>46</v>
      </c>
      <c r="C19" s="13">
        <f>B19/SUM(Table143442[Count of Responses])</f>
        <v>0.88461538461538458</v>
      </c>
    </row>
    <row r="20" spans="1:18" ht="15.5" x14ac:dyDescent="0.35">
      <c r="A20" s="12" t="s">
        <v>39</v>
      </c>
      <c r="B20" s="12">
        <f>COUNTIFS('ADU Homeowner Survey 2025'!B:B,'County Overview'!A$5,'ADU Homeowner Survey 2025'!O:O,"No, this unit will not be used for housing.")</f>
        <v>6</v>
      </c>
      <c r="C20" s="13">
        <f>B20/SUM(Table143442[Count of Responses])</f>
        <v>0.11538461538461539</v>
      </c>
    </row>
    <row r="21" spans="1:18" x14ac:dyDescent="0.35">
      <c r="C21" s="4"/>
    </row>
    <row r="22" spans="1:18" ht="18.5" x14ac:dyDescent="0.45">
      <c r="A22" s="6" t="s">
        <v>105</v>
      </c>
      <c r="C22" s="4"/>
    </row>
    <row r="23" spans="1:18" ht="15.5" x14ac:dyDescent="0.35">
      <c r="A23" s="12" t="s">
        <v>41</v>
      </c>
      <c r="B23" s="12" t="s">
        <v>37</v>
      </c>
      <c r="C23" s="13" t="s">
        <v>13</v>
      </c>
    </row>
    <row r="24" spans="1:18" ht="15.5" x14ac:dyDescent="0.35">
      <c r="A24" s="12" t="s">
        <v>42</v>
      </c>
      <c r="B24" s="12">
        <f>COUNTIFS('ADU Homeowner Survey 2025'!B:B,'County Overview'!A$5,'ADU Homeowner Survey 2025'!Q:Q,"0 (studio)")</f>
        <v>12</v>
      </c>
      <c r="C24" s="13">
        <f>B24/SUM(Table1434[Count of Responses])</f>
        <v>0.23076923076923078</v>
      </c>
    </row>
    <row r="25" spans="1:18" ht="15.5" x14ac:dyDescent="0.35">
      <c r="A25" s="12" t="s">
        <v>43</v>
      </c>
      <c r="B25" s="12">
        <f>COUNTIFS('ADU Homeowner Survey 2025'!B:B,'County Overview'!A$5,'ADU Homeowner Survey 2025'!Q:Q,"1")</f>
        <v>27</v>
      </c>
      <c r="C25" s="13">
        <f>B25/SUM(Table1434[Count of Responses])</f>
        <v>0.51923076923076927</v>
      </c>
    </row>
    <row r="26" spans="1:18" ht="15.5" x14ac:dyDescent="0.35">
      <c r="A26" s="12" t="s">
        <v>44</v>
      </c>
      <c r="B26" s="12">
        <f>COUNTIFS('ADU Homeowner Survey 2025'!B:B,'County Overview'!A$5,'ADU Homeowner Survey 2025'!Q:Q,"2")</f>
        <v>13</v>
      </c>
      <c r="C26" s="13">
        <f>B26/SUM(Table1434[Count of Responses])</f>
        <v>0.25</v>
      </c>
    </row>
    <row r="27" spans="1:18" ht="15.5" x14ac:dyDescent="0.35">
      <c r="A27" s="12" t="s">
        <v>45</v>
      </c>
      <c r="B27" s="12">
        <f>COUNTIFS('ADU Homeowner Survey 2025'!B:B,'County Overview'!A$5,'ADU Homeowner Survey 2025'!Q:Q,"3 or more")</f>
        <v>0</v>
      </c>
      <c r="C27" s="13">
        <f>B27/SUM(Table1434[Count of Responses])</f>
        <v>0</v>
      </c>
    </row>
    <row r="29" spans="1:18" ht="18.5" x14ac:dyDescent="0.45">
      <c r="A29" s="6" t="s">
        <v>106</v>
      </c>
    </row>
    <row r="30" spans="1:18" ht="15.5" x14ac:dyDescent="0.35">
      <c r="A30" s="12" t="s">
        <v>47</v>
      </c>
      <c r="B30" s="12" t="s">
        <v>37</v>
      </c>
      <c r="C30" s="12" t="s">
        <v>13</v>
      </c>
      <c r="E30" s="12" t="s">
        <v>107</v>
      </c>
      <c r="R30" s="12"/>
    </row>
    <row r="31" spans="1:18" ht="15.5" x14ac:dyDescent="0.35">
      <c r="A31" s="12" t="s">
        <v>51</v>
      </c>
      <c r="B31" s="12">
        <f>COUNTIFS('ADU Homeowner Survey 2025'!B:B,'County Overview'!A$5,'ADU Homeowner Survey 2025'!P:P,"&gt;1",'ADU Homeowner Survey 2025'!P:P,"&lt;=500")</f>
        <v>22</v>
      </c>
      <c r="C31" s="13">
        <f>B31/SUM(Table1018[Count of Responses])</f>
        <v>0.42307692307692307</v>
      </c>
    </row>
    <row r="32" spans="1:18" ht="15.5" x14ac:dyDescent="0.35">
      <c r="A32" s="12" t="s">
        <v>52</v>
      </c>
      <c r="B32" s="12">
        <f>COUNTIFS('ADU Homeowner Survey 2025'!B:B,'County Overview'!A$5,'ADU Homeowner Survey 2025'!P:P,"&gt;500",'ADU Homeowner Survey 2025'!P:P,"&lt;=750")</f>
        <v>18</v>
      </c>
      <c r="C32" s="13">
        <f>B32/SUM(Table1018[Count of Responses])</f>
        <v>0.34615384615384615</v>
      </c>
    </row>
    <row r="33" spans="1:35" ht="15.5" x14ac:dyDescent="0.35">
      <c r="A33" s="12" t="s">
        <v>53</v>
      </c>
      <c r="B33" s="12">
        <f>COUNTIFS('ADU Homeowner Survey 2025'!B:B,'County Overview'!A$5,'ADU Homeowner Survey 2025'!P:P,"&gt;750",'ADU Homeowner Survey 2025'!P:P,"&lt;=1000")</f>
        <v>12</v>
      </c>
      <c r="C33" s="13">
        <f>B33/SUM(Table1018[Count of Responses])</f>
        <v>0.23076923076923078</v>
      </c>
    </row>
    <row r="34" spans="1:35" ht="15.5" x14ac:dyDescent="0.35">
      <c r="A34" s="12" t="s">
        <v>54</v>
      </c>
      <c r="B34" s="12">
        <f>COUNTIFS('ADU Homeowner Survey 2025'!B:B,'County Overview'!A$5,'ADU Homeowner Survey 2025'!P:P,"&gt;1000",'ADU Homeowner Survey 2025'!P:P,"&lt;=1250")</f>
        <v>0</v>
      </c>
      <c r="C34" s="13">
        <f>B34/SUM(Table1018[Count of Responses])</f>
        <v>0</v>
      </c>
    </row>
    <row r="35" spans="1:35" ht="15.5" x14ac:dyDescent="0.35">
      <c r="A35" s="12" t="s">
        <v>55</v>
      </c>
      <c r="B35" s="12">
        <f>COUNTIFS('ADU Homeowner Survey 2025'!B:B,'County Overview'!A$5,'ADU Homeowner Survey 2025'!P:P,"&gt;1251")</f>
        <v>0</v>
      </c>
      <c r="C35" s="13">
        <f>B35/SUM(Table1018[Count of Responses])</f>
        <v>0</v>
      </c>
    </row>
    <row r="36" spans="1:35" ht="15.5" x14ac:dyDescent="0.35">
      <c r="A36" s="12" t="s">
        <v>34</v>
      </c>
      <c r="B36" s="12">
        <f>COUNTIFS('ADU Homeowner Survey 2025'!B:B,'County Overview'!A$5,'ADU Homeowner Survey 2025'!P:P,"=0")</f>
        <v>0</v>
      </c>
      <c r="C36" s="13">
        <f>B36/SUM(Table1018[Count of Responses])</f>
        <v>0</v>
      </c>
    </row>
    <row r="38" spans="1:35" ht="18.5" x14ac:dyDescent="0.45">
      <c r="A38" s="6" t="s">
        <v>108</v>
      </c>
    </row>
    <row r="39" spans="1:35" ht="15.5" x14ac:dyDescent="0.35">
      <c r="A39" s="12" t="s">
        <v>57</v>
      </c>
      <c r="B39" s="12" t="s">
        <v>58</v>
      </c>
      <c r="C39" s="12" t="s">
        <v>59</v>
      </c>
      <c r="E39" s="12" t="s">
        <v>109</v>
      </c>
      <c r="Q39" s="12" t="s">
        <v>110</v>
      </c>
      <c r="AC39" s="56" t="s">
        <v>111</v>
      </c>
      <c r="AD39" s="56"/>
      <c r="AE39" s="56"/>
      <c r="AF39" s="56"/>
      <c r="AG39" s="56"/>
      <c r="AH39" s="56"/>
      <c r="AI39" s="56"/>
    </row>
    <row r="40" spans="1:35" ht="15.5" x14ac:dyDescent="0.35">
      <c r="A40" s="30" t="s">
        <v>60</v>
      </c>
      <c r="B40" s="41">
        <f>SUMIFS(Table37[[#All],[Count of Units]],Table37[[#All],[County]],'County Overview'!A$5,Table37[[#All],[Affordability Level]],Table1132[[#This Row],[ADU Affordability Level]])</f>
        <v>22.677900000000001</v>
      </c>
      <c r="C40" s="13">
        <f>Table1132[[#This Row],[Count of Units]]/SUM(Table1132[Count of Units])</f>
        <v>0.56694750000000005</v>
      </c>
    </row>
    <row r="41" spans="1:35" ht="15.5" x14ac:dyDescent="0.35">
      <c r="A41" s="12" t="s">
        <v>61</v>
      </c>
      <c r="B41" s="41">
        <f>SUMIFS(Table37[[#All],[Count of Units]],Table37[[#All],[County]],'County Overview'!A$5,Table37[[#All],[Affordability Level]],Table1132[[#This Row],[ADU Affordability Level]])</f>
        <v>3.7048655310621239</v>
      </c>
      <c r="C41" s="13">
        <f>Table1132[[#This Row],[Count of Units]]/SUM(Table1132[Count of Units])</f>
        <v>9.2621638276553092E-2</v>
      </c>
    </row>
    <row r="42" spans="1:35" ht="15.5" x14ac:dyDescent="0.35">
      <c r="A42" s="12" t="s">
        <v>62</v>
      </c>
      <c r="B42" s="41">
        <f>SUMIFS(Table37[[#All],[Count of Units]],Table37[[#All],[County]],'County Overview'!A$5,Table37[[#All],[Affordability Level]],Table1132[[#This Row],[ADU Affordability Level]])</f>
        <v>8.3527054108216419</v>
      </c>
      <c r="C42" s="13">
        <f>Table1132[[#This Row],[Count of Units]]/SUM(Table1132[Count of Units])</f>
        <v>0.20881763527054104</v>
      </c>
    </row>
    <row r="43" spans="1:35" ht="15.5" x14ac:dyDescent="0.35">
      <c r="A43" s="12" t="s">
        <v>63</v>
      </c>
      <c r="B43" s="41">
        <f>SUMIFS(Table37[[#All],[Count of Units]],Table37[[#All],[County]],'County Overview'!A$5,Table37[[#All],[Affordability Level]],Table1132[[#This Row],[ADU Affordability Level]])</f>
        <v>5.2645290581162332</v>
      </c>
      <c r="C43" s="13">
        <f>Table1132[[#This Row],[Count of Units]]/SUM(Table1132[Count of Units])</f>
        <v>0.13161322645290582</v>
      </c>
    </row>
    <row r="44" spans="1:35" ht="15.5" x14ac:dyDescent="0.35">
      <c r="A44" s="12" t="s">
        <v>64</v>
      </c>
      <c r="B44" s="41">
        <f>SUMIFS(Table37[[#All],[Count of Units]],Table37[[#All],[County]],'County Overview'!A$5,Table37[[#All],[Affordability Level]],Table1132[[#This Row],[ADU Affordability Level]])</f>
        <v>0</v>
      </c>
      <c r="C44" s="13">
        <f>Table1132[[#This Row],[Count of Units]]/SUM(Table1132[Count of Units])</f>
        <v>0</v>
      </c>
    </row>
    <row r="46" spans="1:35" ht="18.5" x14ac:dyDescent="0.45">
      <c r="A46" s="6" t="s">
        <v>112</v>
      </c>
    </row>
    <row r="47" spans="1:35" ht="15.5" x14ac:dyDescent="0.35">
      <c r="A47" s="12" t="s">
        <v>66</v>
      </c>
      <c r="B47" s="12" t="s">
        <v>37</v>
      </c>
      <c r="C47" s="12" t="s">
        <v>13</v>
      </c>
    </row>
    <row r="48" spans="1:35" ht="15.5" x14ac:dyDescent="0.35">
      <c r="A48" s="12" t="s">
        <v>67</v>
      </c>
      <c r="B48" s="12">
        <f>COUNTIFS('ADU Homeowner Survey 2025'!B:B,'County Overview'!A$5,'ADU Homeowner Survey 2025'!R:R,"$1 - $1,000")</f>
        <v>2</v>
      </c>
      <c r="C48" s="13">
        <f>B48/SUM(Table10335[Count of Responses])</f>
        <v>3.8461538461538464E-2</v>
      </c>
    </row>
    <row r="49" spans="1:3" ht="15.5" x14ac:dyDescent="0.35">
      <c r="A49" s="12" t="s">
        <v>68</v>
      </c>
      <c r="B49" s="12">
        <f>COUNTIFS('ADU Homeowner Survey 2025'!B:B,'County Overview'!A$5,'ADU Homeowner Survey 2025'!R:R,"$1,001 - $1,500")</f>
        <v>2</v>
      </c>
      <c r="C49" s="13">
        <f>B49/SUM(Table10335[Count of Responses])</f>
        <v>3.8461538461538464E-2</v>
      </c>
    </row>
    <row r="50" spans="1:3" ht="15.5" x14ac:dyDescent="0.35">
      <c r="A50" s="12" t="s">
        <v>69</v>
      </c>
      <c r="B50" s="12">
        <f>COUNTIFS('ADU Homeowner Survey 2025'!B:B,'County Overview'!A$5,'ADU Homeowner Survey 2025'!R:R,"$1,501 - $2,000")</f>
        <v>5</v>
      </c>
      <c r="C50" s="13">
        <f>B50/SUM(Table10335[Count of Responses])</f>
        <v>9.6153846153846159E-2</v>
      </c>
    </row>
    <row r="51" spans="1:3" ht="15.5" x14ac:dyDescent="0.35">
      <c r="A51" s="12" t="s">
        <v>70</v>
      </c>
      <c r="B51" s="12">
        <f>COUNTIFS('ADU Homeowner Survey 2025'!B:B,'County Overview'!A$5,'ADU Homeowner Survey 2025'!R:R,"$2,001 - $2,500")</f>
        <v>3</v>
      </c>
      <c r="C51" s="13">
        <f>B51/SUM(Table10335[Count of Responses])</f>
        <v>5.7692307692307696E-2</v>
      </c>
    </row>
    <row r="52" spans="1:3" ht="15.5" x14ac:dyDescent="0.35">
      <c r="A52" s="12" t="s">
        <v>71</v>
      </c>
      <c r="B52" s="12">
        <f>COUNTIFS('ADU Homeowner Survey 2025'!B:B,'County Overview'!A$5,'ADU Homeowner Survey 2025'!R:R,"$2,501 - $3,000")</f>
        <v>4</v>
      </c>
      <c r="C52" s="13">
        <f>B52/SUM(Table10335[Count of Responses])</f>
        <v>7.6923076923076927E-2</v>
      </c>
    </row>
    <row r="53" spans="1:3" ht="15.5" x14ac:dyDescent="0.35">
      <c r="A53" s="12" t="s">
        <v>72</v>
      </c>
      <c r="B53" s="12">
        <f>COUNTIFS('ADU Homeowner Survey 2025'!B:B,'County Overview'!A$5,'ADU Homeowner Survey 2025'!R:R,"$3,001 - $3,500")</f>
        <v>2</v>
      </c>
      <c r="C53" s="13">
        <f>B53/SUM(Table10335[Count of Responses])</f>
        <v>3.8461538461538464E-2</v>
      </c>
    </row>
    <row r="54" spans="1:3" ht="15.5" x14ac:dyDescent="0.35">
      <c r="A54" s="12" t="s">
        <v>73</v>
      </c>
      <c r="B54" s="12">
        <f>COUNTIFS('ADU Homeowner Survey 2025'!B:B,'County Overview'!A$5,'ADU Homeowner Survey 2025'!R:R,"$3,501 - $4,000")</f>
        <v>1</v>
      </c>
      <c r="C54" s="13">
        <f>B54/SUM(Table10335[Count of Responses])</f>
        <v>1.9230769230769232E-2</v>
      </c>
    </row>
    <row r="55" spans="1:3" ht="15.5" x14ac:dyDescent="0.35">
      <c r="A55" s="12" t="s">
        <v>74</v>
      </c>
      <c r="B55" s="12">
        <f>COUNTIFS('ADU Homeowner Survey 2025'!B:B,'County Overview'!A$5,'ADU Homeowner Survey 2025'!R:R,"$4,001 - $4,500")</f>
        <v>0</v>
      </c>
      <c r="C55" s="13">
        <f>B55/SUM(Table10335[Count of Responses])</f>
        <v>0</v>
      </c>
    </row>
    <row r="56" spans="1:3" ht="15.5" x14ac:dyDescent="0.35">
      <c r="A56" s="12" t="s">
        <v>75</v>
      </c>
      <c r="B56" s="12">
        <f>COUNTIFS('ADU Homeowner Survey 2025'!B:B,'County Overview'!A$5,'ADU Homeowner Survey 2025'!R:R,"More than $4,500")</f>
        <v>0</v>
      </c>
      <c r="C56" s="13">
        <f>B56/SUM(Table10335[Count of Responses])</f>
        <v>0</v>
      </c>
    </row>
    <row r="57" spans="1:3" ht="15.5" x14ac:dyDescent="0.35">
      <c r="A57" s="12" t="s">
        <v>76</v>
      </c>
      <c r="B57" s="12">
        <f>COUNTIFS('ADU Homeowner Survey 2025'!B:B,'County Overview'!A$5,'ADU Homeowner Survey 2025'!R:R,"Not planning to use for housing")</f>
        <v>6</v>
      </c>
      <c r="C57" s="13">
        <f>B57/SUM(Table10335[Count of Responses])</f>
        <v>0.11538461538461539</v>
      </c>
    </row>
    <row r="58" spans="1:3" ht="15.5" x14ac:dyDescent="0.35">
      <c r="A58" s="12" t="s">
        <v>79</v>
      </c>
      <c r="B58" s="12">
        <f>COUNTIFS('ADU Homeowner Survey 2025'!B:B,'County Overview'!A$5,'ADU Homeowner Survey 2025'!R:R,"Not planning to charge rent")</f>
        <v>21</v>
      </c>
      <c r="C58" s="13">
        <f>B58/SUM(Table10335[Count of Responses])</f>
        <v>0.40384615384615385</v>
      </c>
    </row>
    <row r="59" spans="1:3" ht="15.5" x14ac:dyDescent="0.35">
      <c r="A59" s="12" t="s">
        <v>80</v>
      </c>
      <c r="B59" s="12">
        <f>COUNTIFS('ADU Homeowner Survey 2025'!B:B,'County Overview'!A$5,'ADU Homeowner Survey 2025'!R:R,"Decline to state")</f>
        <v>6</v>
      </c>
      <c r="C59" s="13">
        <f>B59/SUM(Table10335[Count of Responses])</f>
        <v>0.11538461538461539</v>
      </c>
    </row>
    <row r="61" spans="1:3" ht="18.5" x14ac:dyDescent="0.45">
      <c r="A61" s="6" t="s">
        <v>113</v>
      </c>
    </row>
    <row r="62" spans="1:3" ht="15.5" x14ac:dyDescent="0.35">
      <c r="A62" s="12" t="s">
        <v>82</v>
      </c>
      <c r="B62" s="12" t="s">
        <v>37</v>
      </c>
      <c r="C62" s="12" t="s">
        <v>13</v>
      </c>
    </row>
    <row r="63" spans="1:3" ht="15.5" x14ac:dyDescent="0.35">
      <c r="A63" s="12" t="s">
        <v>83</v>
      </c>
      <c r="B63" s="12">
        <f>COUNTIFS('ADU Homeowner Survey 2025'!B:B,'County Overview'!A$5,'ADU Homeowner Survey 2025'!S:S,"*Not*")</f>
        <v>24</v>
      </c>
      <c r="C63" s="13">
        <f>Table1336[[#This Row],[Count of Responses]]/B$7</f>
        <v>0.46153846153846156</v>
      </c>
    </row>
    <row r="64" spans="1:3" ht="15.5" x14ac:dyDescent="0.35">
      <c r="A64" s="12" t="s">
        <v>84</v>
      </c>
      <c r="B64" s="12">
        <f>COUNTIFS('ADU Homeowner Survey 2025'!B:B,'County Overview'!A$5,'ADU Homeowner Survey 2025'!S:S,"*No utilities*")</f>
        <v>17</v>
      </c>
      <c r="C64" s="13">
        <f>Table1336[[#This Row],[Count of Responses]]/B$7</f>
        <v>0.32692307692307693</v>
      </c>
    </row>
    <row r="65" spans="1:21" ht="15.5" x14ac:dyDescent="0.35">
      <c r="A65" s="12" t="s">
        <v>85</v>
      </c>
      <c r="B65" s="12">
        <f>COUNTIFS('ADU Homeowner Survey 2025'!B:B,'County Overview'!A$5,'ADU Homeowner Survey 2025'!S:S,"*Electricity*")</f>
        <v>11</v>
      </c>
      <c r="C65" s="13">
        <f>Table1336[[#This Row],[Count of Responses]]/B$7</f>
        <v>0.21153846153846154</v>
      </c>
    </row>
    <row r="66" spans="1:21" ht="15.5" x14ac:dyDescent="0.35">
      <c r="A66" s="12" t="s">
        <v>86</v>
      </c>
      <c r="B66" s="12">
        <f>COUNTIFS('ADU Homeowner Survey 2025'!B:B,'County Overview'!A$5,'ADU Homeowner Survey 2025'!S:S,"*Gas*")</f>
        <v>5</v>
      </c>
      <c r="C66" s="13">
        <f>Table1336[[#This Row],[Count of Responses]]/B$7</f>
        <v>9.6153846153846159E-2</v>
      </c>
    </row>
    <row r="67" spans="1:21" ht="15.5" x14ac:dyDescent="0.35">
      <c r="A67" s="12" t="s">
        <v>87</v>
      </c>
      <c r="B67" s="12">
        <f>COUNTIFS('ADU Homeowner Survey 2025'!B:B,'County Overview'!A$5,'ADU Homeowner Survey 2025'!S:S,"*Trash*")</f>
        <v>6</v>
      </c>
      <c r="C67" s="13">
        <f>Table1336[[#This Row],[Count of Responses]]/B$7</f>
        <v>0.11538461538461539</v>
      </c>
    </row>
    <row r="68" spans="1:21" ht="15.5" x14ac:dyDescent="0.35">
      <c r="A68" s="12" t="s">
        <v>88</v>
      </c>
      <c r="B68" s="12">
        <f>COUNTIFS('ADU Homeowner Survey 2025'!B:B,'County Overview'!A$5,'ADU Homeowner Survey 2025'!S:S,"*Water*")</f>
        <v>7</v>
      </c>
      <c r="C68" s="13">
        <f>Table1336[[#This Row],[Count of Responses]]/B$7</f>
        <v>0.13461538461538461</v>
      </c>
    </row>
    <row r="69" spans="1:21" ht="15.5" x14ac:dyDescent="0.35">
      <c r="E69" s="12" t="s">
        <v>114</v>
      </c>
      <c r="U69" s="12" t="s">
        <v>115</v>
      </c>
    </row>
  </sheetData>
  <sheetProtection algorithmName="SHA-512" hashValue="asDeWc5EIzRzVs1LbfnlTKxIdxyrM/0H2vRnzozqhoq/9sNiGhjKKAWXoe3XBUpZzhzJ9Pkea4WpW4rbxLSV8Q==" saltValue="7Nuu0Ikxm7NfgSiWSN5uZQ==" spinCount="100000" sheet="1" objects="1" scenarios="1" sort="0"/>
  <mergeCells count="2">
    <mergeCell ref="AC10:AI10"/>
    <mergeCell ref="AC39:AI39"/>
  </mergeCells>
  <pageMargins left="0.7" right="0.7" top="0.75" bottom="0.75" header="0.3" footer="0.3"/>
  <pageSetup orientation="portrait" horizontalDpi="1200" verticalDpi="1200" r:id="rId1"/>
  <ignoredErrors>
    <ignoredError sqref="B25:B27 B19:B20 B48:B59" calculatedColumn="1"/>
  </ignoredErrors>
  <drawing r:id="rId2"/>
  <tableParts count="7">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1">
        <x14:dataValidation type="list" allowBlank="1" showInputMessage="1" showErrorMessage="1" xr:uid="{071F5058-39FC-4FB0-950C-C3819196CBF9}">
          <x14:formula1>
            <xm:f>'Responses by Jurisdiction'!$D$23:$D$31</xm:f>
          </x14:formula1>
          <xm:sqref>A5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32582-0A0F-414D-B4DC-1FC582053B8C}">
  <dimension ref="A1:AH60"/>
  <sheetViews>
    <sheetView topLeftCell="A2" zoomScale="75" zoomScaleNormal="75" workbookViewId="0">
      <selection activeCell="A5" sqref="A5"/>
    </sheetView>
  </sheetViews>
  <sheetFormatPr defaultRowHeight="14.5" x14ac:dyDescent="0.35"/>
  <cols>
    <col min="1" max="1" width="94.81640625" customWidth="1"/>
    <col min="2" max="2" width="21.7265625" customWidth="1"/>
    <col min="3" max="3" width="31.1796875" customWidth="1"/>
  </cols>
  <sheetData>
    <row r="1" spans="1:34" ht="28.5" x14ac:dyDescent="0.65">
      <c r="A1" s="44" t="s">
        <v>116</v>
      </c>
    </row>
    <row r="2" spans="1:34" s="10" customFormat="1" ht="81.75" customHeight="1" x14ac:dyDescent="0.35">
      <c r="A2" s="10" t="s">
        <v>117</v>
      </c>
    </row>
    <row r="3" spans="1:34" ht="18.75" customHeight="1" thickBot="1" x14ac:dyDescent="0.4">
      <c r="A3" s="1"/>
      <c r="B3" s="1"/>
      <c r="C3" s="1"/>
    </row>
    <row r="4" spans="1:34" ht="18.75" customHeight="1" x14ac:dyDescent="0.55000000000000004">
      <c r="A4" s="48" t="s">
        <v>118</v>
      </c>
      <c r="B4" s="1"/>
      <c r="C4" s="1"/>
    </row>
    <row r="5" spans="1:34" ht="24" thickBot="1" x14ac:dyDescent="0.6">
      <c r="A5" s="54" t="s">
        <v>119</v>
      </c>
    </row>
    <row r="7" spans="1:34" ht="23.5" x14ac:dyDescent="0.55000000000000004">
      <c r="A7" s="49" t="s">
        <v>99</v>
      </c>
      <c r="B7" s="49">
        <f>COUNTIF('ADU Homeowner Survey 2025'!AC:AC,'City Overview'!A5)</f>
        <v>13</v>
      </c>
    </row>
    <row r="9" spans="1:34" ht="18.5" x14ac:dyDescent="0.45">
      <c r="A9" s="6" t="s">
        <v>100</v>
      </c>
    </row>
    <row r="10" spans="1:34" ht="15.5" x14ac:dyDescent="0.35">
      <c r="A10" s="12" t="s">
        <v>27</v>
      </c>
      <c r="B10" s="12" t="s">
        <v>28</v>
      </c>
      <c r="C10" s="12" t="s">
        <v>13</v>
      </c>
      <c r="E10" s="12" t="s">
        <v>101</v>
      </c>
      <c r="Q10" s="12" t="s">
        <v>102</v>
      </c>
      <c r="AC10" s="56" t="s">
        <v>103</v>
      </c>
      <c r="AD10" s="56"/>
      <c r="AE10" s="56"/>
      <c r="AF10" s="56"/>
      <c r="AG10" s="56"/>
      <c r="AH10" s="56"/>
    </row>
    <row r="11" spans="1:34" ht="15.5" x14ac:dyDescent="0.35">
      <c r="A11" s="12" t="s">
        <v>29</v>
      </c>
      <c r="B11" s="12">
        <f>COUNTIFS('ADU Homeowner Survey 2025'!AC:AC,'City Overview'!A$5,'ADU Homeowner Survey 2025'!K:K,"*Family*")</f>
        <v>5</v>
      </c>
      <c r="C11" s="13">
        <f>B11/B$7</f>
        <v>0.38461538461538464</v>
      </c>
    </row>
    <row r="12" spans="1:34" ht="15.5" x14ac:dyDescent="0.35">
      <c r="A12" s="12" t="s">
        <v>30</v>
      </c>
      <c r="B12" s="12">
        <f>COUNTIFS('ADU Homeowner Survey 2025'!AC:AC,'City Overview'!A$5,'ADU Homeowner Survey 2025'!K:K,"*Someone else*")</f>
        <v>6</v>
      </c>
      <c r="C12" s="13">
        <f t="shared" ref="C12:C15" si="0">B12/B$7</f>
        <v>0.46153846153846156</v>
      </c>
    </row>
    <row r="13" spans="1:34" ht="15.5" x14ac:dyDescent="0.35">
      <c r="A13" s="12" t="s">
        <v>31</v>
      </c>
      <c r="B13" s="12">
        <f>COUNTIFS('ADU Homeowner Survey 2025'!AC:AC,'City Overview'!A$5,'ADU Homeowner Survey 2025'!K:K,"*Myself*")</f>
        <v>2</v>
      </c>
      <c r="C13" s="13">
        <f t="shared" si="0"/>
        <v>0.15384615384615385</v>
      </c>
    </row>
    <row r="14" spans="1:34" ht="15.5" x14ac:dyDescent="0.35">
      <c r="A14" s="12" t="s">
        <v>32</v>
      </c>
      <c r="B14" s="12">
        <f>COUNTIFS('ADU Homeowner Survey 2025'!AC:AC,'City Overview'!A$5,'ADU Homeowner Survey 2025'!K:K,"*Friend*")</f>
        <v>0</v>
      </c>
      <c r="C14" s="13">
        <f t="shared" si="0"/>
        <v>0</v>
      </c>
    </row>
    <row r="15" spans="1:34" ht="15.5" x14ac:dyDescent="0.35">
      <c r="A15" s="12" t="s">
        <v>33</v>
      </c>
      <c r="B15" s="12">
        <f>COUNTIFS('ADU Homeowner Survey 2025'!AC:AC,'City Overview'!A$5,'ADU Homeowner Survey 2025'!K:K,"*The ADU will not be used for housing*")</f>
        <v>0</v>
      </c>
      <c r="C15" s="13">
        <f t="shared" si="0"/>
        <v>0</v>
      </c>
    </row>
    <row r="16" spans="1:34" ht="15.5" x14ac:dyDescent="0.35">
      <c r="A16" s="12"/>
      <c r="B16" s="12"/>
      <c r="C16" s="13"/>
    </row>
    <row r="17" spans="1:18" ht="18.5" x14ac:dyDescent="0.45">
      <c r="A17" s="6" t="s">
        <v>104</v>
      </c>
      <c r="C17" s="4"/>
    </row>
    <row r="18" spans="1:18" ht="15.5" x14ac:dyDescent="0.35">
      <c r="A18" s="12" t="s">
        <v>36</v>
      </c>
      <c r="B18" s="12" t="s">
        <v>37</v>
      </c>
      <c r="C18" s="13" t="s">
        <v>13</v>
      </c>
    </row>
    <row r="19" spans="1:18" ht="15.5" x14ac:dyDescent="0.35">
      <c r="A19" s="12" t="s">
        <v>38</v>
      </c>
      <c r="B19" s="12">
        <f>COUNTIFS('ADU Homeowner Survey 2025'!AC:AC,'City Overview'!A$5,'ADU Homeowner Survey 2025'!O:O,"Yes, this unit will be used for housing.")</f>
        <v>13</v>
      </c>
      <c r="C19" s="13">
        <f>B19/SUM(Table14344267[Count of Responses])</f>
        <v>1</v>
      </c>
    </row>
    <row r="20" spans="1:18" ht="15.5" x14ac:dyDescent="0.35">
      <c r="A20" s="12" t="s">
        <v>39</v>
      </c>
      <c r="B20" s="12">
        <f>COUNTIFS('ADU Homeowner Survey 2025'!AC:AC,'City Overview'!A$5,'ADU Homeowner Survey 2025'!O:O,"No, this unit will not be used for housing.")</f>
        <v>0</v>
      </c>
      <c r="C20" s="13">
        <f>B20/SUM(Table14344267[Count of Responses])</f>
        <v>0</v>
      </c>
    </row>
    <row r="21" spans="1:18" x14ac:dyDescent="0.35">
      <c r="C21" s="4"/>
    </row>
    <row r="22" spans="1:18" ht="18.5" x14ac:dyDescent="0.45">
      <c r="A22" s="6" t="s">
        <v>105</v>
      </c>
      <c r="C22" s="4"/>
    </row>
    <row r="23" spans="1:18" ht="15.5" x14ac:dyDescent="0.35">
      <c r="A23" s="12" t="s">
        <v>41</v>
      </c>
      <c r="B23" s="12" t="s">
        <v>37</v>
      </c>
      <c r="C23" s="13" t="s">
        <v>13</v>
      </c>
    </row>
    <row r="24" spans="1:18" ht="15.5" x14ac:dyDescent="0.35">
      <c r="A24" s="12" t="s">
        <v>42</v>
      </c>
      <c r="B24" s="12">
        <f>COUNTIFS('ADU Homeowner Survey 2025'!AC:AC,'City Overview'!A$5,'ADU Homeowner Survey 2025'!Q:Q,"0 (studio)")</f>
        <v>7</v>
      </c>
      <c r="C24" s="13">
        <f>B24/SUM(Table143466[Count of Responses])</f>
        <v>0.53846153846153844</v>
      </c>
    </row>
    <row r="25" spans="1:18" ht="15.5" x14ac:dyDescent="0.35">
      <c r="A25" s="12" t="s">
        <v>43</v>
      </c>
      <c r="B25" s="12">
        <f>COUNTIFS('ADU Homeowner Survey 2025'!AC:AC,'City Overview'!A$5,'ADU Homeowner Survey 2025'!Q:Q,"1")</f>
        <v>1</v>
      </c>
      <c r="C25" s="13">
        <f>B25/SUM(Table143466[Count of Responses])</f>
        <v>7.6923076923076927E-2</v>
      </c>
    </row>
    <row r="26" spans="1:18" ht="15.5" x14ac:dyDescent="0.35">
      <c r="A26" s="12" t="s">
        <v>44</v>
      </c>
      <c r="B26" s="12">
        <f>COUNTIFS('ADU Homeowner Survey 2025'!AC:AC,'City Overview'!A$5,'ADU Homeowner Survey 2025'!Q:Q,"2")</f>
        <v>5</v>
      </c>
      <c r="C26" s="13">
        <f>B26/SUM(Table143466[Count of Responses])</f>
        <v>0.38461538461538464</v>
      </c>
    </row>
    <row r="27" spans="1:18" ht="15.5" x14ac:dyDescent="0.35">
      <c r="A27" s="12" t="s">
        <v>45</v>
      </c>
      <c r="B27" s="12">
        <f>COUNTIFS('ADU Homeowner Survey 2025'!AC:AC,'City Overview'!A$5,'ADU Homeowner Survey 2025'!Q:Q,"3 or more")</f>
        <v>0</v>
      </c>
      <c r="C27" s="13">
        <f>B27/SUM(Table143466[Count of Responses])</f>
        <v>0</v>
      </c>
    </row>
    <row r="29" spans="1:18" ht="18.5" x14ac:dyDescent="0.45">
      <c r="A29" s="6" t="s">
        <v>106</v>
      </c>
    </row>
    <row r="30" spans="1:18" ht="15.5" x14ac:dyDescent="0.35">
      <c r="A30" s="12" t="s">
        <v>47</v>
      </c>
      <c r="B30" s="12" t="s">
        <v>37</v>
      </c>
      <c r="C30" s="12" t="s">
        <v>13</v>
      </c>
      <c r="E30" s="12" t="s">
        <v>107</v>
      </c>
      <c r="R30" s="12"/>
    </row>
    <row r="31" spans="1:18" ht="15.5" x14ac:dyDescent="0.35">
      <c r="A31" s="12" t="s">
        <v>51</v>
      </c>
      <c r="B31" s="12">
        <f>COUNTIFS('ADU Homeowner Survey 2025'!AC:AC,'City Overview'!A$5,'ADU Homeowner Survey 2025'!P:P,"&gt;1",'ADU Homeowner Survey 2025'!P:P,"&lt;=500")</f>
        <v>5</v>
      </c>
      <c r="C31" s="13">
        <f>B31/SUM(Table101862[Count of Responses])</f>
        <v>0.38461538461538464</v>
      </c>
    </row>
    <row r="32" spans="1:18" ht="15.5" x14ac:dyDescent="0.35">
      <c r="A32" s="12" t="s">
        <v>52</v>
      </c>
      <c r="B32" s="12">
        <f>COUNTIFS('ADU Homeowner Survey 2025'!AC:AC,'City Overview'!A$5,'ADU Homeowner Survey 2025'!P:P,"&gt;500",'ADU Homeowner Survey 2025'!P:P,"&lt;=750")</f>
        <v>2</v>
      </c>
      <c r="C32" s="13">
        <f>B32/SUM(Table101862[Count of Responses])</f>
        <v>0.15384615384615385</v>
      </c>
    </row>
    <row r="33" spans="1:34" ht="15.5" x14ac:dyDescent="0.35">
      <c r="A33" s="12" t="s">
        <v>53</v>
      </c>
      <c r="B33" s="12">
        <f>COUNTIFS('ADU Homeowner Survey 2025'!AC:AC,'City Overview'!A$5,'ADU Homeowner Survey 2025'!P:P,"&gt;750",'ADU Homeowner Survey 2025'!P:P,"&lt;=1000")</f>
        <v>4</v>
      </c>
      <c r="C33" s="13">
        <f>B33/SUM(Table101862[Count of Responses])</f>
        <v>0.30769230769230771</v>
      </c>
    </row>
    <row r="34" spans="1:34" ht="15.5" x14ac:dyDescent="0.35">
      <c r="A34" s="12" t="s">
        <v>54</v>
      </c>
      <c r="B34" s="12">
        <f>COUNTIFS('ADU Homeowner Survey 2025'!AC:AC,'City Overview'!A$5,'ADU Homeowner Survey 2025'!P:P,"&gt;1000",'ADU Homeowner Survey 2025'!P:P,"&lt;=1250")</f>
        <v>0</v>
      </c>
      <c r="C34" s="13">
        <f>B34/SUM(Table101862[Count of Responses])</f>
        <v>0</v>
      </c>
    </row>
    <row r="35" spans="1:34" ht="15.5" x14ac:dyDescent="0.35">
      <c r="A35" s="12" t="s">
        <v>55</v>
      </c>
      <c r="B35" s="12">
        <f>COUNTIFS('ADU Homeowner Survey 2025'!AC:AC,'City Overview'!A$5,'ADU Homeowner Survey 2025'!P:P,"&gt;1251")</f>
        <v>2</v>
      </c>
      <c r="C35" s="13">
        <f>B35/SUM(Table101862[Count of Responses])</f>
        <v>0.15384615384615385</v>
      </c>
    </row>
    <row r="36" spans="1:34" ht="15.5" x14ac:dyDescent="0.35">
      <c r="A36" s="12" t="s">
        <v>34</v>
      </c>
      <c r="B36" s="12">
        <f>COUNTIFS('ADU Homeowner Survey 2025'!AC:AC,'City Overview'!A$5,'ADU Homeowner Survey 2025'!P:P,"=0")</f>
        <v>0</v>
      </c>
      <c r="C36" s="13">
        <f>B36/SUM(Table101862[Count of Responses])</f>
        <v>0</v>
      </c>
    </row>
    <row r="38" spans="1:34" ht="18.5" x14ac:dyDescent="0.45">
      <c r="A38" s="6" t="s">
        <v>120</v>
      </c>
    </row>
    <row r="39" spans="1:34" ht="15.5" x14ac:dyDescent="0.35">
      <c r="A39" s="12" t="s">
        <v>66</v>
      </c>
      <c r="B39" s="12" t="s">
        <v>37</v>
      </c>
      <c r="C39" s="12" t="s">
        <v>13</v>
      </c>
      <c r="E39" s="12" t="s">
        <v>109</v>
      </c>
      <c r="Q39" s="12" t="s">
        <v>114</v>
      </c>
      <c r="AH39" s="12" t="s">
        <v>115</v>
      </c>
    </row>
    <row r="40" spans="1:34" ht="15.5" x14ac:dyDescent="0.35">
      <c r="A40" s="12" t="s">
        <v>67</v>
      </c>
      <c r="B40" s="12">
        <f>COUNTIFS('ADU Homeowner Survey 2025'!AC:AC,'City Overview'!A$5,'ADU Homeowner Survey 2025'!R:R,"$1 - $1,000")</f>
        <v>1</v>
      </c>
      <c r="C40" s="13">
        <f>B40/SUM(Table1033564[Count of Responses])</f>
        <v>7.6923076923076927E-2</v>
      </c>
    </row>
    <row r="41" spans="1:34" ht="15.5" x14ac:dyDescent="0.35">
      <c r="A41" s="12" t="s">
        <v>68</v>
      </c>
      <c r="B41" s="12">
        <f>COUNTIFS('ADU Homeowner Survey 2025'!AC:AC,'City Overview'!A$5,'ADU Homeowner Survey 2025'!R:R,"$1,001 - $1,500")</f>
        <v>1</v>
      </c>
      <c r="C41" s="13">
        <f>B41/SUM(Table1033564[Count of Responses])</f>
        <v>7.6923076923076927E-2</v>
      </c>
    </row>
    <row r="42" spans="1:34" ht="15.5" x14ac:dyDescent="0.35">
      <c r="A42" s="12" t="s">
        <v>69</v>
      </c>
      <c r="B42" s="12">
        <f>COUNTIFS('ADU Homeowner Survey 2025'!AC:AC,'City Overview'!A$5,'ADU Homeowner Survey 2025'!R:R,"$1,501 - $2,000")</f>
        <v>4</v>
      </c>
      <c r="C42" s="13">
        <f>B42/SUM(Table1033564[Count of Responses])</f>
        <v>0.30769230769230771</v>
      </c>
    </row>
    <row r="43" spans="1:34" ht="15.5" x14ac:dyDescent="0.35">
      <c r="A43" s="12" t="s">
        <v>70</v>
      </c>
      <c r="B43" s="12">
        <f>COUNTIFS('ADU Homeowner Survey 2025'!AC:AC,'City Overview'!A$5,'ADU Homeowner Survey 2025'!R:R,"$2,001 - $2,500")</f>
        <v>0</v>
      </c>
      <c r="C43" s="13">
        <f>B43/SUM(Table1033564[Count of Responses])</f>
        <v>0</v>
      </c>
    </row>
    <row r="44" spans="1:34" ht="15.5" x14ac:dyDescent="0.35">
      <c r="A44" s="12" t="s">
        <v>71</v>
      </c>
      <c r="B44" s="12">
        <f>COUNTIFS('ADU Homeowner Survey 2025'!AC:AC,'City Overview'!A$5,'ADU Homeowner Survey 2025'!R:R,"$2,501 - $3,000")</f>
        <v>1</v>
      </c>
      <c r="C44" s="13">
        <f>B44/SUM(Table1033564[Count of Responses])</f>
        <v>7.6923076923076927E-2</v>
      </c>
    </row>
    <row r="45" spans="1:34" ht="15.5" x14ac:dyDescent="0.35">
      <c r="A45" s="12" t="s">
        <v>72</v>
      </c>
      <c r="B45" s="12">
        <f>COUNTIFS('ADU Homeowner Survey 2025'!AC:AC,'City Overview'!A$5,'ADU Homeowner Survey 2025'!R:R,"$3,001 - $3,500")</f>
        <v>2</v>
      </c>
      <c r="C45" s="13">
        <f>B45/SUM(Table1033564[Count of Responses])</f>
        <v>0.15384615384615385</v>
      </c>
    </row>
    <row r="46" spans="1:34" ht="15.5" x14ac:dyDescent="0.35">
      <c r="A46" s="12" t="s">
        <v>73</v>
      </c>
      <c r="B46" s="12">
        <f>COUNTIFS('ADU Homeowner Survey 2025'!AC:AC,'City Overview'!A$5,'ADU Homeowner Survey 2025'!R:R,"$3,501 - $4,000")</f>
        <v>0</v>
      </c>
      <c r="C46" s="13">
        <f>B46/SUM(Table1033564[Count of Responses])</f>
        <v>0</v>
      </c>
    </row>
    <row r="47" spans="1:34" ht="15.5" x14ac:dyDescent="0.35">
      <c r="A47" s="12" t="s">
        <v>74</v>
      </c>
      <c r="B47" s="12">
        <f>COUNTIFS('ADU Homeowner Survey 2025'!AC:AC,'City Overview'!A$5,'ADU Homeowner Survey 2025'!R:R,"$4,001 - $4,500")</f>
        <v>0</v>
      </c>
      <c r="C47" s="13">
        <f>B47/SUM(Table1033564[Count of Responses])</f>
        <v>0</v>
      </c>
    </row>
    <row r="48" spans="1:34" ht="15.5" x14ac:dyDescent="0.35">
      <c r="A48" s="12" t="s">
        <v>75</v>
      </c>
      <c r="B48" s="12">
        <f>COUNTIFS('ADU Homeowner Survey 2025'!AC:AC,'City Overview'!A$5,'ADU Homeowner Survey 2025'!R:R,"More than $4,500")</f>
        <v>0</v>
      </c>
      <c r="C48" s="13">
        <f>B48/SUM(Table1033564[Count of Responses])</f>
        <v>0</v>
      </c>
    </row>
    <row r="49" spans="1:3" ht="15.5" x14ac:dyDescent="0.35">
      <c r="A49" s="12" t="s">
        <v>76</v>
      </c>
      <c r="B49" s="12">
        <f>COUNTIFS('ADU Homeowner Survey 2025'!AC:AC,'City Overview'!A$5,'ADU Homeowner Survey 2025'!R:R,"Not planning to use for housing")</f>
        <v>0</v>
      </c>
      <c r="C49" s="13">
        <f>B49/SUM(Table1033564[Count of Responses])</f>
        <v>0</v>
      </c>
    </row>
    <row r="50" spans="1:3" ht="15.5" x14ac:dyDescent="0.35">
      <c r="A50" s="12" t="s">
        <v>79</v>
      </c>
      <c r="B50" s="12">
        <f>COUNTIFS('ADU Homeowner Survey 2025'!AC:AC,'City Overview'!A$5,'ADU Homeowner Survey 2025'!R:R,"Not planning to charge rent")</f>
        <v>3</v>
      </c>
      <c r="C50" s="13">
        <f>B50/SUM(Table1033564[Count of Responses])</f>
        <v>0.23076923076923078</v>
      </c>
    </row>
    <row r="51" spans="1:3" ht="15.5" x14ac:dyDescent="0.35">
      <c r="A51" s="12" t="s">
        <v>80</v>
      </c>
      <c r="B51" s="12">
        <f>COUNTIFS('ADU Homeowner Survey 2025'!AC:AC,'City Overview'!A$5,'ADU Homeowner Survey 2025'!R:R,"Decline to state")</f>
        <v>1</v>
      </c>
      <c r="C51" s="13">
        <f>B51/SUM(Table1033564[Count of Responses])</f>
        <v>7.6923076923076927E-2</v>
      </c>
    </row>
    <row r="53" spans="1:3" ht="18.5" x14ac:dyDescent="0.45">
      <c r="A53" s="6" t="s">
        <v>121</v>
      </c>
    </row>
    <row r="54" spans="1:3" ht="15.5" x14ac:dyDescent="0.35">
      <c r="A54" s="12" t="s">
        <v>82</v>
      </c>
      <c r="B54" s="12" t="s">
        <v>37</v>
      </c>
      <c r="C54" s="12" t="s">
        <v>13</v>
      </c>
    </row>
    <row r="55" spans="1:3" ht="15.5" x14ac:dyDescent="0.35">
      <c r="A55" s="12" t="s">
        <v>83</v>
      </c>
      <c r="B55" s="12">
        <f>COUNTIFS('ADU Homeowner Survey 2025'!AC:AC,'City Overview'!A$5,'ADU Homeowner Survey 2025'!S:S,"*Not*")</f>
        <v>5</v>
      </c>
      <c r="C55" s="13">
        <f t="shared" ref="C55:C60" si="1">B55/B$7</f>
        <v>0.38461538461538464</v>
      </c>
    </row>
    <row r="56" spans="1:3" ht="15.5" x14ac:dyDescent="0.35">
      <c r="A56" s="12" t="s">
        <v>84</v>
      </c>
      <c r="B56" s="12">
        <f>COUNTIFS('ADU Homeowner Survey 2025'!AC:AC,'City Overview'!A$5,'ADU Homeowner Survey 2025'!S:S,"*No utilities*")</f>
        <v>4</v>
      </c>
      <c r="C56" s="13">
        <f t="shared" si="1"/>
        <v>0.30769230769230771</v>
      </c>
    </row>
    <row r="57" spans="1:3" ht="15.5" x14ac:dyDescent="0.35">
      <c r="A57" s="12" t="s">
        <v>85</v>
      </c>
      <c r="B57" s="12">
        <f>COUNTIFS('ADU Homeowner Survey 2025'!AC:AC,'City Overview'!A$5,'ADU Homeowner Survey 2025'!S:S,"*Electricity*")</f>
        <v>4</v>
      </c>
      <c r="C57" s="13">
        <f t="shared" si="1"/>
        <v>0.30769230769230771</v>
      </c>
    </row>
    <row r="58" spans="1:3" ht="15.5" x14ac:dyDescent="0.35">
      <c r="A58" s="12" t="s">
        <v>86</v>
      </c>
      <c r="B58" s="12">
        <f>COUNTIFS('ADU Homeowner Survey 2025'!AC:AC,'City Overview'!A$5,'ADU Homeowner Survey 2025'!S:S,"*Gas*")</f>
        <v>1</v>
      </c>
      <c r="C58" s="13">
        <f t="shared" si="1"/>
        <v>7.6923076923076927E-2</v>
      </c>
    </row>
    <row r="59" spans="1:3" ht="15.5" x14ac:dyDescent="0.35">
      <c r="A59" s="12" t="s">
        <v>87</v>
      </c>
      <c r="B59" s="12">
        <f>COUNTIFS('ADU Homeowner Survey 2025'!AC:AC,'City Overview'!A$5,'ADU Homeowner Survey 2025'!S:S,"*Trash*")</f>
        <v>2</v>
      </c>
      <c r="C59" s="13">
        <f t="shared" si="1"/>
        <v>0.15384615384615385</v>
      </c>
    </row>
    <row r="60" spans="1:3" ht="15.5" x14ac:dyDescent="0.35">
      <c r="A60" s="12" t="s">
        <v>88</v>
      </c>
      <c r="B60" s="12">
        <f>COUNTIFS('ADU Homeowner Survey 2025'!AC:AC,'City Overview'!A$5,'ADU Homeowner Survey 2025'!S:S,"*Water*")</f>
        <v>3</v>
      </c>
      <c r="C60" s="13">
        <f t="shared" si="1"/>
        <v>0.23076923076923078</v>
      </c>
    </row>
  </sheetData>
  <sheetProtection algorithmName="SHA-512" hashValue="FV45Cfk7zp/skalGhnlvZw6n9RWD/RERicWDtPtssBHWhjXIe73kge5yUxhkPgA/XIpayY5vVIkoVIwKI31hhA==" saltValue="1H4QcGveI635XDPv9sS4lw==" spinCount="100000" sheet="1" objects="1" scenarios="1"/>
  <dataConsolidate/>
  <mergeCells count="1">
    <mergeCell ref="AC10:AH10"/>
  </mergeCells>
  <pageMargins left="0.7" right="0.7" top="0.75" bottom="0.75" header="0.3" footer="0.3"/>
  <pageSetup orientation="portrait" horizontalDpi="1200" verticalDpi="1200" r:id="rId1"/>
  <ignoredErrors>
    <ignoredError sqref="B19:B20 B24:B27 B40:B51 C11" calculatedColumn="1"/>
  </ignoredErrors>
  <drawing r:id="rId2"/>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1">
        <x14:dataValidation type="list" allowBlank="1" showInputMessage="1" showErrorMessage="1" xr:uid="{6F3BA90A-B6CB-4006-90E6-0F14CA897A0E}">
          <x14:formula1>
            <xm:f>'Responses by Jurisdiction'!$A$22:$A$39</xm:f>
          </x14:formula1>
          <xm:sqref>A5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BDA15-911F-4111-AEC2-C40FE4997A1C}">
  <dimension ref="B1:AG170"/>
  <sheetViews>
    <sheetView tabSelected="1" topLeftCell="B54" zoomScale="75" zoomScaleNormal="75" workbookViewId="0">
      <selection activeCell="C111" sqref="C111"/>
    </sheetView>
  </sheetViews>
  <sheetFormatPr defaultRowHeight="14.5" x14ac:dyDescent="0.35"/>
  <cols>
    <col min="2" max="2" width="62.81640625" customWidth="1"/>
    <col min="3" max="4" width="21.7265625" customWidth="1"/>
    <col min="5" max="5" width="20.81640625" customWidth="1"/>
  </cols>
  <sheetData>
    <row r="1" spans="2:33" ht="28.5" x14ac:dyDescent="0.65">
      <c r="B1" s="44" t="s">
        <v>122</v>
      </c>
    </row>
    <row r="2" spans="2:33" ht="84" customHeight="1" x14ac:dyDescent="0.35">
      <c r="B2" s="10" t="s">
        <v>123</v>
      </c>
    </row>
    <row r="4" spans="2:33" ht="18.5" x14ac:dyDescent="0.45">
      <c r="B4" s="6" t="s">
        <v>124</v>
      </c>
    </row>
    <row r="5" spans="2:33" ht="15.5" x14ac:dyDescent="0.35">
      <c r="B5" s="55" t="s">
        <v>57</v>
      </c>
      <c r="C5" s="55" t="s">
        <v>58</v>
      </c>
      <c r="D5" s="55" t="s">
        <v>59</v>
      </c>
      <c r="F5" s="12" t="s">
        <v>125</v>
      </c>
      <c r="O5" s="12" t="s">
        <v>126</v>
      </c>
      <c r="Y5" s="56" t="s">
        <v>127</v>
      </c>
      <c r="Z5" s="56"/>
      <c r="AA5" s="56"/>
      <c r="AB5" s="56"/>
      <c r="AC5" s="56"/>
      <c r="AD5" s="56"/>
      <c r="AE5" s="56"/>
      <c r="AF5" s="56"/>
      <c r="AG5" s="56"/>
    </row>
    <row r="6" spans="2:33" ht="15.5" x14ac:dyDescent="0.35">
      <c r="B6" s="30" t="s">
        <v>60</v>
      </c>
      <c r="C6" s="41">
        <f>SUM('2025 Affordability Calcluations'!K47,'2025 Affordability Calcluations'!K48,'2025 Affordability Calcluations'!K49,'2025 Affordability Calcluations'!K50)</f>
        <v>22.677900000000001</v>
      </c>
      <c r="D6" s="13">
        <f>Table116[[#This Row],[Count of Units]]/(SUM(Table116[Count of Units]))</f>
        <v>0.56694750000000005</v>
      </c>
      <c r="F6" s="12"/>
      <c r="O6" s="12"/>
    </row>
    <row r="7" spans="2:33" ht="15.5" x14ac:dyDescent="0.35">
      <c r="B7" s="12" t="s">
        <v>61</v>
      </c>
      <c r="C7" s="41">
        <f>SUM('2025 Affordability Calcluations'!L47,'2025 Affordability Calcluations'!L48,'2025 Affordability Calcluations'!L49,'2025 Affordability Calcluations'!L50)</f>
        <v>3.7048655310621239</v>
      </c>
      <c r="D7" s="13">
        <f>Table116[[#This Row],[Count of Units]]/(SUM(Table116[Count of Units]))</f>
        <v>9.2621638276553092E-2</v>
      </c>
    </row>
    <row r="8" spans="2:33" ht="15.5" x14ac:dyDescent="0.35">
      <c r="B8" s="12" t="s">
        <v>62</v>
      </c>
      <c r="C8" s="41">
        <f>SUM('2025 Affordability Calcluations'!M47,'2025 Affordability Calcluations'!M48,'2025 Affordability Calcluations'!M49,'2025 Affordability Calcluations'!M50)</f>
        <v>8.3527054108216419</v>
      </c>
      <c r="D8" s="13">
        <f>Table116[[#This Row],[Count of Units]]/(SUM(Table116[Count of Units]))</f>
        <v>0.20881763527054104</v>
      </c>
    </row>
    <row r="9" spans="2:33" ht="15.5" x14ac:dyDescent="0.35">
      <c r="B9" s="12" t="s">
        <v>63</v>
      </c>
      <c r="C9" s="41">
        <f>SUM('2025 Affordability Calcluations'!N47,'2025 Affordability Calcluations'!N48,'2025 Affordability Calcluations'!N49,'2025 Affordability Calcluations'!N50)</f>
        <v>5.2645290581162332</v>
      </c>
      <c r="D9" s="13">
        <f>Table116[[#This Row],[Count of Units]]/(SUM(Table116[Count of Units]))</f>
        <v>0.13161322645290582</v>
      </c>
    </row>
    <row r="10" spans="2:33" ht="15.5" x14ac:dyDescent="0.35">
      <c r="B10" s="12" t="s">
        <v>64</v>
      </c>
      <c r="C10" s="41">
        <f>SUM('2025 Affordability Calcluations'!O47,'2025 Affordability Calcluations'!O48,'2025 Affordability Calcluations'!O49,'2025 Affordability Calcluations'!O50)</f>
        <v>0</v>
      </c>
      <c r="D10" s="13">
        <f>Table116[[#This Row],[Count of Units]]/(SUM(Table116[Count of Units]))</f>
        <v>0</v>
      </c>
    </row>
    <row r="11" spans="2:33" ht="15.5" x14ac:dyDescent="0.35">
      <c r="B11" s="12"/>
      <c r="C11" s="35"/>
      <c r="D11" s="13"/>
    </row>
    <row r="12" spans="2:33" ht="15.5" x14ac:dyDescent="0.35">
      <c r="B12" s="12" t="s">
        <v>128</v>
      </c>
      <c r="C12" s="41">
        <f>'2025 Affordability Calcluations'!I51</f>
        <v>6</v>
      </c>
      <c r="D12" s="13"/>
    </row>
    <row r="13" spans="2:33" ht="15.5" x14ac:dyDescent="0.35">
      <c r="B13" s="12" t="s">
        <v>129</v>
      </c>
      <c r="C13" s="41">
        <f>'2025 Affordability Calcluations'!J51</f>
        <v>6</v>
      </c>
      <c r="D13" s="13"/>
    </row>
    <row r="14" spans="2:33" ht="15.5" x14ac:dyDescent="0.35">
      <c r="B14" s="12" t="s">
        <v>130</v>
      </c>
      <c r="C14" s="41">
        <f>SUM(C6:C13)</f>
        <v>52</v>
      </c>
      <c r="D14" s="13"/>
    </row>
    <row r="16" spans="2:33" ht="18.5" x14ac:dyDescent="0.45">
      <c r="B16" s="6" t="s">
        <v>131</v>
      </c>
    </row>
    <row r="17" spans="2:33" ht="15.5" x14ac:dyDescent="0.35">
      <c r="B17" s="12" t="s">
        <v>57</v>
      </c>
      <c r="C17" s="12" t="s">
        <v>58</v>
      </c>
      <c r="D17" s="12" t="s">
        <v>59</v>
      </c>
    </row>
    <row r="18" spans="2:33" ht="15.5" x14ac:dyDescent="0.35">
      <c r="B18" s="30" t="s">
        <v>60</v>
      </c>
      <c r="C18" s="41">
        <f>SUM('2025 Affordability Calcluations'!K87,'2025 Affordability Calcluations'!K88,'2025 Affordability Calcluations'!K89,'2025 Affordability Calcluations'!K90)</f>
        <v>49.42523326653307</v>
      </c>
      <c r="D18" s="13">
        <f>Table11619[[#This Row],[Count of Units]]/(SUM(Table11619[Count of Units]))</f>
        <v>0.45764104876419515</v>
      </c>
    </row>
    <row r="19" spans="2:33" ht="15.5" x14ac:dyDescent="0.35">
      <c r="B19" s="12" t="s">
        <v>61</v>
      </c>
      <c r="C19" s="41">
        <f>SUM('2025 Affordability Calcluations'!L87,'2025 Affordability Calcluations'!L88,'2025 Affordability Calcluations'!L89,'2025 Affordability Calcluations'!L90)</f>
        <v>23.711039278557113</v>
      </c>
      <c r="D19" s="13">
        <f>Table11619[[#This Row],[Count of Units]]/(SUM(Table11619[Count of Units]))</f>
        <v>0.21954665998663997</v>
      </c>
    </row>
    <row r="20" spans="2:33" ht="15.5" x14ac:dyDescent="0.35">
      <c r="B20" s="12" t="s">
        <v>62</v>
      </c>
      <c r="C20" s="41">
        <f>SUM('2025 Affordability Calcluations'!M87,'2025 Affordability Calcluations'!M88,'2025 Affordability Calcluations'!M89,'2025 Affordability Calcluations'!M90)</f>
        <v>29.252505010020037</v>
      </c>
      <c r="D20" s="13">
        <f>Table11619[[#This Row],[Count of Units]]/(SUM(Table11619[Count of Units]))</f>
        <v>0.27085652787055592</v>
      </c>
    </row>
    <row r="21" spans="2:33" ht="15.5" x14ac:dyDescent="0.35">
      <c r="B21" s="12" t="s">
        <v>63</v>
      </c>
      <c r="C21" s="41">
        <f>SUM('2025 Affordability Calcluations'!N87,'2025 Affordability Calcluations'!N88,'2025 Affordability Calcluations'!N89,'2025 Affordability Calcluations'!N90)</f>
        <v>5.2424849699398797</v>
      </c>
      <c r="D21" s="13">
        <f>Table11619[[#This Row],[Count of Units]]/(SUM(Table11619[Count of Units]))</f>
        <v>4.8541527499443335E-2</v>
      </c>
    </row>
    <row r="22" spans="2:33" ht="15.5" x14ac:dyDescent="0.35">
      <c r="B22" s="12" t="s">
        <v>64</v>
      </c>
      <c r="C22" s="41">
        <f>SUM('2025 Affordability Calcluations'!O87,'2025 Affordability Calcluations'!O88,'2025 Affordability Calcluations'!O89,'2025 Affordability Calcluations'!O90)</f>
        <v>0.36873747494989983</v>
      </c>
      <c r="D22" s="13">
        <f>Table11619[[#This Row],[Count of Units]]/(SUM(Table11619[Count of Units]))</f>
        <v>3.4142358791657396E-3</v>
      </c>
    </row>
    <row r="23" spans="2:33" ht="15.5" x14ac:dyDescent="0.35">
      <c r="B23" s="12"/>
      <c r="C23" s="35"/>
      <c r="D23" s="13"/>
    </row>
    <row r="24" spans="2:33" ht="15.5" x14ac:dyDescent="0.35">
      <c r="B24" s="12" t="s">
        <v>128</v>
      </c>
      <c r="C24" s="41">
        <f>'2025 Affordability Calcluations'!I91</f>
        <v>7</v>
      </c>
      <c r="D24" s="13"/>
    </row>
    <row r="25" spans="2:33" ht="15.5" x14ac:dyDescent="0.35">
      <c r="B25" s="12" t="s">
        <v>129</v>
      </c>
      <c r="C25" s="41">
        <f>'2025 Affordability Calcluations'!J91</f>
        <v>16</v>
      </c>
      <c r="D25" s="13"/>
    </row>
    <row r="26" spans="2:33" ht="15.5" x14ac:dyDescent="0.35">
      <c r="B26" s="12" t="s">
        <v>130</v>
      </c>
      <c r="C26" s="41">
        <f>SUM(C18:C25)</f>
        <v>131</v>
      </c>
      <c r="D26" s="13"/>
    </row>
    <row r="27" spans="2:33" ht="18.5" x14ac:dyDescent="0.45">
      <c r="N27" s="6"/>
    </row>
    <row r="28" spans="2:33" ht="18.5" x14ac:dyDescent="0.45">
      <c r="B28" s="6" t="s">
        <v>132</v>
      </c>
    </row>
    <row r="29" spans="2:33" ht="15.5" x14ac:dyDescent="0.35">
      <c r="B29" s="12" t="s">
        <v>57</v>
      </c>
      <c r="C29" s="12" t="s">
        <v>58</v>
      </c>
      <c r="D29" s="12" t="s">
        <v>59</v>
      </c>
      <c r="F29" s="12" t="s">
        <v>133</v>
      </c>
      <c r="O29" s="12" t="s">
        <v>134</v>
      </c>
      <c r="Y29" s="57" t="s">
        <v>135</v>
      </c>
      <c r="Z29" s="57"/>
      <c r="AA29" s="57"/>
      <c r="AB29" s="57"/>
      <c r="AC29" s="57"/>
      <c r="AD29" s="57"/>
      <c r="AE29" s="57"/>
      <c r="AF29" s="57"/>
      <c r="AG29" s="57"/>
    </row>
    <row r="30" spans="2:33" ht="15.5" x14ac:dyDescent="0.35">
      <c r="B30" s="30" t="s">
        <v>60</v>
      </c>
      <c r="C30" s="41">
        <f>SUM('2025 Affordability Calcluations'!K128,'2025 Affordability Calcluations'!K129,'2025 Affordability Calcluations'!K130,'2025 Affordability Calcluations'!K131)</f>
        <v>9</v>
      </c>
      <c r="D30" s="13">
        <f>Table11620[[#This Row],[Count of Units]]/(SUM(Table11620[Count of Units]))</f>
        <v>0.5625</v>
      </c>
      <c r="F30" s="12"/>
      <c r="O30" s="12"/>
    </row>
    <row r="31" spans="2:33" ht="15.5" x14ac:dyDescent="0.35">
      <c r="B31" s="12" t="s">
        <v>61</v>
      </c>
      <c r="C31" s="41">
        <f>SUM('2025 Affordability Calcluations'!L128,'2025 Affordability Calcluations'!L129,'2025 Affordability Calcluations'!L130,'2025 Affordability Calcluations'!L131)</f>
        <v>4.1943887775551101</v>
      </c>
      <c r="D31" s="13">
        <f>Table11620[[#This Row],[Count of Units]]/(SUM(Table11620[Count of Units]))</f>
        <v>0.26214929859719438</v>
      </c>
    </row>
    <row r="32" spans="2:33" ht="15.5" x14ac:dyDescent="0.35">
      <c r="B32" s="12" t="s">
        <v>62</v>
      </c>
      <c r="C32" s="41">
        <f>SUM('2025 Affordability Calcluations'!M129,'2025 Affordability Calcluations'!M128,'2025 Affordability Calcluations'!M130,'2025 Affordability Calcluations'!M131)</f>
        <v>1.8056112224448899</v>
      </c>
      <c r="D32" s="13">
        <f>Table11620[[#This Row],[Count of Units]]/(SUM(Table11620[Count of Units]))</f>
        <v>0.11285070140280562</v>
      </c>
    </row>
    <row r="33" spans="2:4" ht="15.5" x14ac:dyDescent="0.35">
      <c r="B33" s="12" t="s">
        <v>63</v>
      </c>
      <c r="C33" s="41">
        <f>SUM('2025 Affordability Calcluations'!N128,'2025 Affordability Calcluations'!N129,'2025 Affordability Calcluations'!N130,'2025 Affordability Calcluations'!N131)</f>
        <v>1</v>
      </c>
      <c r="D33" s="13">
        <f>Table11620[[#This Row],[Count of Units]]/(SUM(Table11620[Count of Units]))</f>
        <v>6.25E-2</v>
      </c>
    </row>
    <row r="34" spans="2:4" ht="15.5" x14ac:dyDescent="0.35">
      <c r="B34" s="12" t="s">
        <v>64</v>
      </c>
      <c r="C34" s="41">
        <f>SUM('2025 Affordability Calcluations'!O128,'2025 Affordability Calcluations'!O130,'2025 Affordability Calcluations'!O129,'2025 Affordability Calcluations'!O131)</f>
        <v>0</v>
      </c>
      <c r="D34" s="13">
        <f>Table11620[[#This Row],[Count of Units]]/(SUM(Table11620[Count of Units]))</f>
        <v>0</v>
      </c>
    </row>
    <row r="35" spans="2:4" ht="15.5" x14ac:dyDescent="0.35">
      <c r="B35" s="12"/>
      <c r="C35" s="35"/>
      <c r="D35" s="13"/>
    </row>
    <row r="36" spans="2:4" ht="15.5" x14ac:dyDescent="0.35">
      <c r="B36" s="12" t="s">
        <v>128</v>
      </c>
      <c r="C36" s="41">
        <f>'2025 Affordability Calcluations'!I132</f>
        <v>3</v>
      </c>
      <c r="D36" s="13"/>
    </row>
    <row r="37" spans="2:4" ht="15.5" x14ac:dyDescent="0.35">
      <c r="B37" s="12" t="s">
        <v>80</v>
      </c>
      <c r="C37" s="41">
        <f>'2025 Affordability Calcluations'!J132</f>
        <v>1</v>
      </c>
      <c r="D37" s="13"/>
    </row>
    <row r="38" spans="2:4" ht="15.5" x14ac:dyDescent="0.35">
      <c r="B38" s="12" t="s">
        <v>130</v>
      </c>
      <c r="C38" s="41">
        <f>SUM(C30:C37)</f>
        <v>20</v>
      </c>
      <c r="D38" s="13"/>
    </row>
    <row r="40" spans="2:4" ht="18.5" x14ac:dyDescent="0.45">
      <c r="B40" s="6" t="s">
        <v>136</v>
      </c>
    </row>
    <row r="41" spans="2:4" ht="15.5" x14ac:dyDescent="0.35">
      <c r="B41" s="12" t="s">
        <v>57</v>
      </c>
      <c r="C41" s="12" t="s">
        <v>58</v>
      </c>
      <c r="D41" s="12" t="s">
        <v>59</v>
      </c>
    </row>
    <row r="42" spans="2:4" ht="15.5" x14ac:dyDescent="0.35">
      <c r="B42" s="30" t="s">
        <v>60</v>
      </c>
      <c r="C42" s="41">
        <f>SUM('2025 Affordability Calcluations'!K168,'2025 Affordability Calcluations'!K169,'2025 Affordability Calcluations'!K170,'2025 Affordability Calcluations'!K171)</f>
        <v>3</v>
      </c>
      <c r="D42" s="13">
        <f>Table11621[[#This Row],[Count of Units]]/(SUM(Table11621[Count of Units]))</f>
        <v>0.75</v>
      </c>
    </row>
    <row r="43" spans="2:4" ht="15.5" x14ac:dyDescent="0.35">
      <c r="B43" s="12" t="s">
        <v>61</v>
      </c>
      <c r="C43" s="41">
        <f>SUM('2025 Affordability Calcluations'!L168,'2025 Affordability Calcluations'!L169,'2025 Affordability Calcluations'!L170,'2025 Affordability Calcluations'!L171)</f>
        <v>0</v>
      </c>
      <c r="D43" s="13">
        <f>Table11621[[#This Row],[Count of Units]]/(SUM(Table11621[Count of Units]))</f>
        <v>0</v>
      </c>
    </row>
    <row r="44" spans="2:4" ht="15.5" x14ac:dyDescent="0.35">
      <c r="B44" s="12" t="s">
        <v>62</v>
      </c>
      <c r="C44" s="41">
        <f>SUM('2025 Affordability Calcluations'!M168,'2025 Affordability Calcluations'!M169,'2025 Affordability Calcluations'!M170,'2025 Affordability Calcluations'!M171)</f>
        <v>0.69378757515030021</v>
      </c>
      <c r="D44" s="13">
        <f>Table11621[[#This Row],[Count of Units]]/(SUM(Table11621[Count of Units]))</f>
        <v>0.17344689378757505</v>
      </c>
    </row>
    <row r="45" spans="2:4" ht="15.5" x14ac:dyDescent="0.35">
      <c r="B45" s="12" t="s">
        <v>63</v>
      </c>
      <c r="C45" s="41">
        <f>SUM('2025 Affordability Calcluations'!N168,'2025 Affordability Calcluations'!N169,'2025 Affordability Calcluations'!N170,'2025 Affordability Calcluations'!N171)</f>
        <v>0.30621242484969979</v>
      </c>
      <c r="D45" s="13">
        <f>Table11621[[#This Row],[Count of Units]]/(SUM(Table11621[Count of Units]))</f>
        <v>7.6553106212424948E-2</v>
      </c>
    </row>
    <row r="46" spans="2:4" ht="15.5" x14ac:dyDescent="0.35">
      <c r="B46" s="12" t="s">
        <v>64</v>
      </c>
      <c r="C46" s="41">
        <f>SUM('2025 Affordability Calcluations'!O168,'2025 Affordability Calcluations'!O169,'2025 Affordability Calcluations'!O170,'2025 Affordability Calcluations'!O171)</f>
        <v>0</v>
      </c>
      <c r="D46" s="13">
        <f>Table11621[[#This Row],[Count of Units]]/(SUM(Table11621[Count of Units]))</f>
        <v>0</v>
      </c>
    </row>
    <row r="47" spans="2:4" ht="15.5" x14ac:dyDescent="0.35">
      <c r="B47" s="12"/>
      <c r="C47" s="35"/>
      <c r="D47" s="13"/>
    </row>
    <row r="48" spans="2:4" ht="15.5" x14ac:dyDescent="0.35">
      <c r="B48" s="12" t="s">
        <v>128</v>
      </c>
      <c r="C48" s="41">
        <f>'2025 Affordability Calcluations'!I172</f>
        <v>0</v>
      </c>
      <c r="D48" s="13"/>
    </row>
    <row r="49" spans="2:32" ht="15.5" x14ac:dyDescent="0.35">
      <c r="B49" s="12" t="s">
        <v>80</v>
      </c>
      <c r="C49" s="41">
        <f>'2025 Affordability Calcluations'!J172</f>
        <v>0</v>
      </c>
      <c r="D49" s="13"/>
    </row>
    <row r="50" spans="2:32" ht="15.5" x14ac:dyDescent="0.35">
      <c r="B50" s="12" t="s">
        <v>130</v>
      </c>
      <c r="C50" s="41">
        <f>SUM(C42:C49)</f>
        <v>4</v>
      </c>
      <c r="D50" s="13"/>
    </row>
    <row r="51" spans="2:32" ht="15.5" x14ac:dyDescent="0.35">
      <c r="B51" s="12"/>
      <c r="C51" s="35"/>
      <c r="D51" s="12"/>
    </row>
    <row r="52" spans="2:32" ht="18.5" x14ac:dyDescent="0.45">
      <c r="B52" s="6" t="s">
        <v>137</v>
      </c>
    </row>
    <row r="53" spans="2:32" ht="15.5" x14ac:dyDescent="0.35">
      <c r="B53" s="12" t="s">
        <v>57</v>
      </c>
      <c r="C53" s="12" t="s">
        <v>58</v>
      </c>
      <c r="D53" s="12" t="s">
        <v>59</v>
      </c>
      <c r="F53" s="12" t="s">
        <v>138</v>
      </c>
      <c r="O53" s="12" t="s">
        <v>139</v>
      </c>
      <c r="Y53" s="56" t="s">
        <v>140</v>
      </c>
      <c r="Z53" s="56"/>
      <c r="AA53" s="56"/>
      <c r="AB53" s="56"/>
      <c r="AC53" s="56"/>
      <c r="AD53" s="56"/>
      <c r="AE53" s="56"/>
      <c r="AF53" s="56"/>
    </row>
    <row r="54" spans="2:32" ht="15.5" x14ac:dyDescent="0.35">
      <c r="B54" s="30" t="s">
        <v>60</v>
      </c>
      <c r="C54" s="41">
        <f>SUM('2025 Affordability Calcluations'!K209,'2025 Affordability Calcluations'!K210,'2025 Affordability Calcluations'!K212,'2025 Affordability Calcluations'!K211)</f>
        <v>4.2173253507014028</v>
      </c>
      <c r="D54" s="13">
        <f>Table116224[[#This Row],[Count of Units]]/(SUM(Table116224[Count of Units]))</f>
        <v>0.13604275324843235</v>
      </c>
    </row>
    <row r="55" spans="2:32" ht="15.5" x14ac:dyDescent="0.35">
      <c r="B55" s="12" t="s">
        <v>61</v>
      </c>
      <c r="C55" s="41">
        <f>SUM('2025 Affordability Calcluations'!L209,'2025 Affordability Calcluations'!L210,'2025 Affordability Calcluations'!L211,'2025 Affordability Calcluations'!L212)</f>
        <v>4.0286666332665337</v>
      </c>
      <c r="D55" s="13">
        <f>Table116224[[#This Row],[Count of Units]]/(SUM(Table116224[Count of Units]))</f>
        <v>0.12995698816988818</v>
      </c>
    </row>
    <row r="56" spans="2:32" ht="15.5" x14ac:dyDescent="0.35">
      <c r="B56" s="12" t="s">
        <v>62</v>
      </c>
      <c r="C56" s="41">
        <f>SUM('2025 Affordability Calcluations'!M209,'2025 Affordability Calcluations'!M210,'2025 Affordability Calcluations'!M211,'2025 Affordability Calcluations'!M212)</f>
        <v>16.267034068136269</v>
      </c>
      <c r="D56" s="13">
        <f>Table116224[[#This Row],[Count of Units]]/(SUM(Table116224[Count of Units]))</f>
        <v>0.52474303445600867</v>
      </c>
    </row>
    <row r="57" spans="2:32" ht="15.5" x14ac:dyDescent="0.35">
      <c r="B57" s="12" t="s">
        <v>63</v>
      </c>
      <c r="C57" s="41">
        <f>SUM('2025 Affordability Calcluations'!N209,'2025 Affordability Calcluations'!N210,'2025 Affordability Calcluations'!N211,'2025 Affordability Calcluations'!N212)</f>
        <v>6.4869739478957928</v>
      </c>
      <c r="D57" s="13">
        <f>Table116224[[#This Row],[Count of Units]]/(SUM(Table116224[Count of Units]))</f>
        <v>0.20925722412567074</v>
      </c>
    </row>
    <row r="58" spans="2:32" ht="15.5" x14ac:dyDescent="0.35">
      <c r="B58" s="12" t="s">
        <v>64</v>
      </c>
      <c r="C58" s="41">
        <f>SUM('2025 Affordability Calcluations'!O209,'2025 Affordability Calcluations'!O210,'2025 Affordability Calcluations'!O211,'2025 Affordability Calcluations'!O212)</f>
        <v>0</v>
      </c>
      <c r="D58" s="13">
        <f>Table116224[[#This Row],[Count of Units]]/(SUM(Table116224[Count of Units]))</f>
        <v>0</v>
      </c>
    </row>
    <row r="59" spans="2:32" ht="15.5" x14ac:dyDescent="0.35">
      <c r="B59" s="12"/>
      <c r="C59" s="35"/>
      <c r="D59" s="13"/>
    </row>
    <row r="60" spans="2:32" ht="15.5" x14ac:dyDescent="0.35">
      <c r="B60" s="12" t="s">
        <v>128</v>
      </c>
      <c r="C60" s="41">
        <f>'2025 Affordability Calcluations'!I213</f>
        <v>0</v>
      </c>
      <c r="D60" s="13"/>
    </row>
    <row r="61" spans="2:32" ht="15.5" x14ac:dyDescent="0.35">
      <c r="B61" s="12" t="s">
        <v>80</v>
      </c>
      <c r="C61" s="41">
        <f>'2025 Affordability Calcluations'!J213</f>
        <v>3</v>
      </c>
      <c r="D61" s="13"/>
    </row>
    <row r="62" spans="2:32" ht="15.5" x14ac:dyDescent="0.35">
      <c r="B62" s="12" t="s">
        <v>130</v>
      </c>
      <c r="C62" s="41">
        <f>SUM(C54:C61)</f>
        <v>34</v>
      </c>
      <c r="D62" s="13"/>
    </row>
    <row r="63" spans="2:32" ht="15.5" x14ac:dyDescent="0.35">
      <c r="B63" s="12"/>
      <c r="C63" s="35"/>
      <c r="D63" s="13"/>
    </row>
    <row r="64" spans="2:32" ht="18.5" x14ac:dyDescent="0.45">
      <c r="B64" s="6" t="s">
        <v>141</v>
      </c>
    </row>
    <row r="65" spans="2:4" ht="15.5" x14ac:dyDescent="0.35">
      <c r="B65" s="12" t="s">
        <v>57</v>
      </c>
      <c r="C65" s="12" t="s">
        <v>58</v>
      </c>
      <c r="D65" s="12" t="s">
        <v>59</v>
      </c>
    </row>
    <row r="66" spans="2:4" ht="15.5" x14ac:dyDescent="0.35">
      <c r="B66" s="30" t="s">
        <v>60</v>
      </c>
      <c r="C66" s="41">
        <f>SUM('2025 Affordability Calcluations'!K250,'2025 Affordability Calcluations'!K251,'2025 Affordability Calcluations'!K252,'2025 Affordability Calcluations'!K253)</f>
        <v>48.497786272545092</v>
      </c>
      <c r="D66" s="13">
        <f>Table11622[[#This Row],[Count of Units]]/(SUM(Table11622[Count of Units]))</f>
        <v>0.52148157282306551</v>
      </c>
    </row>
    <row r="67" spans="2:4" ht="15.5" x14ac:dyDescent="0.35">
      <c r="B67" s="12" t="s">
        <v>61</v>
      </c>
      <c r="C67" s="41">
        <f>SUM('2025 Affordability Calcluations'!L250,'2025 Affordability Calcluations'!L251,'2025 Affordability Calcluations'!L252,'2025 Affordability Calcluations'!L253)</f>
        <v>15.151011322645289</v>
      </c>
      <c r="D67" s="13">
        <f>Table11622[[#This Row],[Count of Units]]/(SUM(Table11622[Count of Units]))</f>
        <v>0.16291410024349773</v>
      </c>
    </row>
    <row r="68" spans="2:4" ht="15.5" x14ac:dyDescent="0.35">
      <c r="B68" s="12" t="s">
        <v>62</v>
      </c>
      <c r="C68" s="41">
        <f>SUM('2025 Affordability Calcluations'!M250,'2025 Affordability Calcluations'!M251,'2025 Affordability Calcluations'!M252,'2025 Affordability Calcluations'!M253)</f>
        <v>22.386873747494992</v>
      </c>
      <c r="D68" s="13">
        <f>Table11622[[#This Row],[Count of Units]]/(SUM(Table11622[Count of Units]))</f>
        <v>0.24071907255370958</v>
      </c>
    </row>
    <row r="69" spans="2:4" ht="15.5" x14ac:dyDescent="0.35">
      <c r="B69" s="12" t="s">
        <v>63</v>
      </c>
      <c r="C69" s="41">
        <f>SUM('2025 Affordability Calcluations'!N250,'2025 Affordability Calcluations'!N251,'2025 Affordability Calcluations'!N252,'2025 Affordability Calcluations'!N253)</f>
        <v>6.9643286573146312</v>
      </c>
      <c r="D69" s="13">
        <f>Table11622[[#This Row],[Count of Units]]/(SUM(Table11622[Count of Units]))</f>
        <v>7.488525437972722E-2</v>
      </c>
    </row>
    <row r="70" spans="2:4" ht="15.5" x14ac:dyDescent="0.35">
      <c r="B70" s="12" t="s">
        <v>64</v>
      </c>
      <c r="C70" s="41">
        <f>SUM('2025 Affordability Calcluations'!O250,'2025 Affordability Calcluations'!O251,'2025 Affordability Calcluations'!O252,'2025 Affordability Calcluations'!O253)</f>
        <v>0</v>
      </c>
      <c r="D70" s="13">
        <f>Table11622[[#This Row],[Count of Units]]/(SUM(Table11622[Count of Units]))</f>
        <v>0</v>
      </c>
    </row>
    <row r="71" spans="2:4" ht="15.5" x14ac:dyDescent="0.35">
      <c r="B71" s="12"/>
      <c r="C71" s="35"/>
      <c r="D71" s="13"/>
    </row>
    <row r="72" spans="2:4" ht="15.5" x14ac:dyDescent="0.35">
      <c r="B72" s="12" t="s">
        <v>128</v>
      </c>
      <c r="C72" s="41">
        <f>'2025 Affordability Calcluations'!I254</f>
        <v>14</v>
      </c>
      <c r="D72" s="13"/>
    </row>
    <row r="73" spans="2:4" ht="15.5" x14ac:dyDescent="0.35">
      <c r="B73" s="12" t="s">
        <v>80</v>
      </c>
      <c r="C73" s="41">
        <f>SUM('2025 Affordability Calcluations'!J254)</f>
        <v>17</v>
      </c>
      <c r="D73" s="13"/>
    </row>
    <row r="74" spans="2:4" ht="15.5" x14ac:dyDescent="0.35">
      <c r="B74" s="12" t="s">
        <v>130</v>
      </c>
      <c r="C74" s="41">
        <f>SUM(C66:C73)</f>
        <v>124</v>
      </c>
      <c r="D74" s="13"/>
    </row>
    <row r="76" spans="2:4" ht="18.5" x14ac:dyDescent="0.45">
      <c r="B76" s="6" t="s">
        <v>142</v>
      </c>
    </row>
    <row r="77" spans="2:4" ht="15.5" x14ac:dyDescent="0.35">
      <c r="B77" s="12" t="s">
        <v>57</v>
      </c>
      <c r="C77" s="12" t="s">
        <v>58</v>
      </c>
      <c r="D77" s="12" t="s">
        <v>59</v>
      </c>
    </row>
    <row r="78" spans="2:4" ht="15.5" x14ac:dyDescent="0.35">
      <c r="B78" s="30" t="s">
        <v>60</v>
      </c>
      <c r="C78" s="41">
        <f>SUM('2025 Affordability Calcluations'!K291,'2025 Affordability Calcluations'!K292,'2025 Affordability Calcluations'!K293,'2025 Affordability Calcluations'!K294)</f>
        <v>106.79959919839679</v>
      </c>
      <c r="D78" s="13">
        <f>Table11623[[#This Row],[Count of Units]]/(SUM(Table11623[Count of Units]))</f>
        <v>0.63571189999045707</v>
      </c>
    </row>
    <row r="79" spans="2:4" ht="15.5" x14ac:dyDescent="0.35">
      <c r="B79" s="12" t="s">
        <v>61</v>
      </c>
      <c r="C79" s="41">
        <f>SUM('2025 Affordability Calcluations'!L291,'2025 Affordability Calcluations'!L292,'2025 Affordability Calcluations'!L293,'2025 Affordability Calcluations'!L294)</f>
        <v>15.496993987975952</v>
      </c>
      <c r="D79" s="13">
        <f>Table11623[[#This Row],[Count of Units]]/(SUM(Table11623[Count of Units]))</f>
        <v>9.2244011833190184E-2</v>
      </c>
    </row>
    <row r="80" spans="2:4" ht="15.5" x14ac:dyDescent="0.35">
      <c r="B80" s="12" t="s">
        <v>62</v>
      </c>
      <c r="C80" s="41">
        <f>SUM('2025 Affordability Calcluations'!M291,'2025 Affordability Calcluations'!M292,'2025 Affordability Calcluations'!M293,'2025 Affordability Calcluations'!M294)</f>
        <v>31.738276553106207</v>
      </c>
      <c r="D80" s="13">
        <f>Table11623[[#This Row],[Count of Units]]/(SUM(Table11623[Count of Units]))</f>
        <v>0.18891831281610838</v>
      </c>
    </row>
    <row r="81" spans="2:4" ht="15.5" x14ac:dyDescent="0.35">
      <c r="B81" s="12" t="s">
        <v>63</v>
      </c>
      <c r="C81" s="41">
        <f>SUM('2025 Affordability Calcluations'!N291,'2025 Affordability Calcluations'!N292,'2025 Affordability Calcluations'!N293,'2025 Affordability Calcluations'!N294)</f>
        <v>13.965130260521045</v>
      </c>
      <c r="D81" s="13">
        <f>Table11623[[#This Row],[Count of Units]]/(SUM(Table11623[Count of Units]))</f>
        <v>8.3125775360244319E-2</v>
      </c>
    </row>
    <row r="82" spans="2:4" ht="15.5" x14ac:dyDescent="0.35">
      <c r="B82" s="12" t="s">
        <v>64</v>
      </c>
      <c r="C82" s="41">
        <f>SUM('2025 Affordability Calcluations'!O291,'2025 Affordability Calcluations'!O292,'2025 Affordability Calcluations'!O293,'2025 Affordability Calcluations'!O294)</f>
        <v>0</v>
      </c>
      <c r="D82" s="13">
        <f>Table11623[[#This Row],[Count of Units]]/(SUM(Table11623[Count of Units]))</f>
        <v>0</v>
      </c>
    </row>
    <row r="83" spans="2:4" ht="15.5" x14ac:dyDescent="0.35">
      <c r="B83" s="12"/>
      <c r="C83" s="35"/>
      <c r="D83" s="13"/>
    </row>
    <row r="84" spans="2:4" ht="15.5" x14ac:dyDescent="0.35">
      <c r="B84" s="12" t="s">
        <v>128</v>
      </c>
      <c r="C84" s="41">
        <f>'2025 Affordability Calcluations'!I295</f>
        <v>12</v>
      </c>
      <c r="D84" s="13"/>
    </row>
    <row r="85" spans="2:4" ht="15.5" x14ac:dyDescent="0.35">
      <c r="B85" s="12" t="s">
        <v>80</v>
      </c>
      <c r="C85" s="41">
        <f>SUM('2025 Affordability Calcluations'!J295)</f>
        <v>12</v>
      </c>
      <c r="D85" s="13"/>
    </row>
    <row r="86" spans="2:4" ht="15.5" x14ac:dyDescent="0.35">
      <c r="B86" s="12" t="s">
        <v>130</v>
      </c>
      <c r="C86" s="41">
        <f>SUM(C78:C85)</f>
        <v>192</v>
      </c>
      <c r="D86" s="13"/>
    </row>
    <row r="88" spans="2:4" ht="18.5" x14ac:dyDescent="0.45">
      <c r="B88" s="6" t="s">
        <v>143</v>
      </c>
    </row>
    <row r="89" spans="2:4" ht="15.5" x14ac:dyDescent="0.35">
      <c r="B89" s="12" t="s">
        <v>57</v>
      </c>
      <c r="C89" s="12" t="s">
        <v>58</v>
      </c>
      <c r="D89" s="12" t="s">
        <v>59</v>
      </c>
    </row>
    <row r="90" spans="2:4" ht="15.5" x14ac:dyDescent="0.35">
      <c r="B90" s="30" t="s">
        <v>60</v>
      </c>
      <c r="C90" s="41">
        <f>SUM('2025 Affordability Calcluations'!K332,'2025 Affordability Calcluations'!K333,'2025 Affordability Calcluations'!K334,'2025 Affordability Calcluations'!K335)</f>
        <v>8.15015</v>
      </c>
      <c r="D90" s="13">
        <f>Table11624[[#This Row],[Count of Units]]/(SUM(Table11624[Count of Units]))</f>
        <v>0.4794205882352941</v>
      </c>
    </row>
    <row r="91" spans="2:4" ht="15.5" x14ac:dyDescent="0.35">
      <c r="B91" s="12" t="s">
        <v>61</v>
      </c>
      <c r="C91" s="41">
        <f>SUM('2025 Affordability Calcluations'!L332,'2025 Affordability Calcluations'!L333,'2025 Affordability Calcluations'!L334,'2025 Affordability Calcluations'!L335)</f>
        <v>2.4159822645290578</v>
      </c>
      <c r="D91" s="13">
        <f>Table11624[[#This Row],[Count of Units]]/(SUM(Table11624[Count of Units]))</f>
        <v>0.14211660379582694</v>
      </c>
    </row>
    <row r="92" spans="2:4" ht="15.5" x14ac:dyDescent="0.35">
      <c r="B92" s="12" t="s">
        <v>62</v>
      </c>
      <c r="C92" s="41">
        <f>SUM('2025 Affordability Calcluations'!M332,'2025 Affordability Calcluations'!M333,'2025 Affordability Calcluations'!M334,'2025 Affordability Calcluations'!M335)</f>
        <v>4.9184368737474946</v>
      </c>
      <c r="D92" s="13">
        <f>Table11624[[#This Row],[Count of Units]]/(SUM(Table11624[Count of Units]))</f>
        <v>0.28931981610279378</v>
      </c>
    </row>
    <row r="93" spans="2:4" ht="15.5" x14ac:dyDescent="0.35">
      <c r="B93" s="12" t="s">
        <v>63</v>
      </c>
      <c r="C93" s="41">
        <f>SUM('2025 Affordability Calcluations'!N332,'2025 Affordability Calcluations'!N333,'2025 Affordability Calcluations'!N334,'2025 Affordability Calcluations'!N335)</f>
        <v>1.5154308617234475</v>
      </c>
      <c r="D93" s="13">
        <f>Table11624[[#This Row],[Count of Units]]/(SUM(Table11624[Count of Units]))</f>
        <v>8.9142991866085153E-2</v>
      </c>
    </row>
    <row r="94" spans="2:4" ht="15.5" x14ac:dyDescent="0.35">
      <c r="B94" s="12" t="s">
        <v>64</v>
      </c>
      <c r="C94" s="41">
        <f>SUM('2025 Affordability Calcluations'!O333,'2025 Affordability Calcluations'!O332,'2025 Affordability Calcluations'!O334,'2025 Affordability Calcluations'!O335)</f>
        <v>0</v>
      </c>
      <c r="D94" s="13">
        <f>Table11624[[#This Row],[Count of Units]]/(SUM(Table11624[Count of Units]))</f>
        <v>0</v>
      </c>
    </row>
    <row r="95" spans="2:4" ht="15.5" x14ac:dyDescent="0.35">
      <c r="B95" s="12"/>
      <c r="C95" s="35"/>
      <c r="D95" s="13"/>
    </row>
    <row r="96" spans="2:4" ht="15.5" x14ac:dyDescent="0.35">
      <c r="B96" s="12" t="s">
        <v>128</v>
      </c>
      <c r="C96" s="41">
        <f>'2025 Affordability Calcluations'!I336</f>
        <v>1</v>
      </c>
      <c r="D96" s="13"/>
    </row>
    <row r="97" spans="2:4" ht="15.5" x14ac:dyDescent="0.35">
      <c r="B97" s="12" t="s">
        <v>129</v>
      </c>
      <c r="C97" s="41">
        <f>SUM('2025 Affordability Calcluations'!J336)</f>
        <v>0</v>
      </c>
      <c r="D97" s="13"/>
    </row>
    <row r="98" spans="2:4" ht="15.5" x14ac:dyDescent="0.35">
      <c r="B98" s="12" t="s">
        <v>130</v>
      </c>
      <c r="C98" s="41">
        <f>SUM(C90:C97)</f>
        <v>18</v>
      </c>
      <c r="D98" s="13"/>
    </row>
    <row r="100" spans="2:4" ht="18.5" x14ac:dyDescent="0.45">
      <c r="B100" s="6" t="s">
        <v>144</v>
      </c>
    </row>
    <row r="101" spans="2:4" ht="15.5" x14ac:dyDescent="0.35">
      <c r="B101" s="12" t="s">
        <v>57</v>
      </c>
      <c r="C101" s="12" t="s">
        <v>58</v>
      </c>
      <c r="D101" s="12" t="s">
        <v>59</v>
      </c>
    </row>
    <row r="102" spans="2:4" ht="15.5" x14ac:dyDescent="0.35">
      <c r="B102" s="30" t="s">
        <v>60</v>
      </c>
      <c r="C102" s="41">
        <f>SUM('2025 Affordability Calcluations'!K373,'2025 Affordability Calcluations'!K374,'2025 Affordability Calcluations'!K375,'2025 Affordability Calcluations'!K376)</f>
        <v>9.782</v>
      </c>
      <c r="D102" s="13">
        <f>Table11625[[#This Row],[Count of Units]]/SUM(Table11625[Count of Units])</f>
        <v>0.34935714285714287</v>
      </c>
    </row>
    <row r="103" spans="2:4" ht="15.5" x14ac:dyDescent="0.35">
      <c r="B103" s="12" t="s">
        <v>61</v>
      </c>
      <c r="C103" s="41">
        <f>SUM('2025 Affordability Calcluations'!L373:L376)</f>
        <v>1.8272184368737476</v>
      </c>
      <c r="D103" s="13">
        <f>Table11625[[#This Row],[Count of Units]]/SUM(Table11625[Count of Units])</f>
        <v>6.5257801316919564E-2</v>
      </c>
    </row>
    <row r="104" spans="2:4" ht="15.5" x14ac:dyDescent="0.35">
      <c r="B104" s="12" t="s">
        <v>62</v>
      </c>
      <c r="C104" s="41">
        <f>SUM('2025 Affordability Calcluations'!M373:M376)</f>
        <v>6.5350701402805607</v>
      </c>
      <c r="D104" s="13">
        <f>Table11625[[#This Row],[Count of Units]]/SUM(Table11625[Count of Units])</f>
        <v>0.23339536215287718</v>
      </c>
    </row>
    <row r="105" spans="2:4" ht="15.5" x14ac:dyDescent="0.35">
      <c r="B105" s="12" t="s">
        <v>63</v>
      </c>
      <c r="C105" s="41">
        <f>SUM('2025 Affordability Calcluations'!N373:N376)</f>
        <v>9.1903807615230448</v>
      </c>
      <c r="D105" s="13">
        <f>Table11625[[#This Row],[Count of Units]]/SUM(Table11625[Count of Units])</f>
        <v>0.32822788434010874</v>
      </c>
    </row>
    <row r="106" spans="2:4" ht="15.5" x14ac:dyDescent="0.35">
      <c r="B106" s="12" t="s">
        <v>64</v>
      </c>
      <c r="C106" s="41">
        <f>SUM('2025 Affordability Calcluations'!O373:O376)</f>
        <v>0.66533066132264529</v>
      </c>
      <c r="D106" s="13">
        <f>Table11625[[#This Row],[Count of Units]]/SUM(Table11625[Count of Units])</f>
        <v>2.3761809332951616E-2</v>
      </c>
    </row>
    <row r="107" spans="2:4" ht="15.5" x14ac:dyDescent="0.35">
      <c r="B107" s="12"/>
      <c r="C107" s="35"/>
      <c r="D107" s="13"/>
    </row>
    <row r="108" spans="2:4" ht="15.5" x14ac:dyDescent="0.35">
      <c r="B108" s="12" t="s">
        <v>128</v>
      </c>
      <c r="C108" s="41">
        <f>'2025 Affordability Calcluations'!I377</f>
        <v>0</v>
      </c>
      <c r="D108" s="13"/>
    </row>
    <row r="109" spans="2:4" ht="15.5" x14ac:dyDescent="0.35">
      <c r="B109" s="12" t="s">
        <v>80</v>
      </c>
      <c r="C109" s="41">
        <f>SUM('2025 Affordability Calcluations'!J377)</f>
        <v>2</v>
      </c>
      <c r="D109" s="13"/>
    </row>
    <row r="110" spans="2:4" ht="15.5" x14ac:dyDescent="0.35">
      <c r="B110" s="12" t="s">
        <v>130</v>
      </c>
      <c r="C110" s="41">
        <f>SUM(C102:C109)</f>
        <v>30</v>
      </c>
      <c r="D110" s="13"/>
    </row>
    <row r="115" spans="2:5" x14ac:dyDescent="0.35">
      <c r="C115" s="7"/>
    </row>
    <row r="121" spans="2:5" hidden="1" x14ac:dyDescent="0.35"/>
    <row r="122" spans="2:5" hidden="1" x14ac:dyDescent="0.35"/>
    <row r="123" spans="2:5" hidden="1" x14ac:dyDescent="0.35">
      <c r="B123" t="s">
        <v>11</v>
      </c>
      <c r="C123" t="s">
        <v>145</v>
      </c>
      <c r="D123" t="s">
        <v>58</v>
      </c>
      <c r="E123" t="s">
        <v>59</v>
      </c>
    </row>
    <row r="124" spans="2:5" hidden="1" x14ac:dyDescent="0.35">
      <c r="B124" t="s">
        <v>98</v>
      </c>
      <c r="C124" t="str">
        <f>B6</f>
        <v>Zero Rent / Extremely Low Income Units</v>
      </c>
      <c r="D124" s="7">
        <f>C6</f>
        <v>22.677900000000001</v>
      </c>
      <c r="E124" s="4">
        <f>D6</f>
        <v>0.56694750000000005</v>
      </c>
    </row>
    <row r="125" spans="2:5" hidden="1" x14ac:dyDescent="0.35">
      <c r="B125" t="s">
        <v>98</v>
      </c>
      <c r="C125" t="str">
        <f t="shared" ref="C125:E125" si="0">B7</f>
        <v>Very Low Income Units</v>
      </c>
      <c r="D125" s="7">
        <f t="shared" si="0"/>
        <v>3.7048655310621239</v>
      </c>
      <c r="E125" s="4">
        <f t="shared" si="0"/>
        <v>9.2621638276553092E-2</v>
      </c>
    </row>
    <row r="126" spans="2:5" hidden="1" x14ac:dyDescent="0.35">
      <c r="B126" t="s">
        <v>98</v>
      </c>
      <c r="C126" t="str">
        <f t="shared" ref="C126:E126" si="1">B8</f>
        <v>Low Income Units</v>
      </c>
      <c r="D126" s="7">
        <f t="shared" si="1"/>
        <v>8.3527054108216419</v>
      </c>
      <c r="E126" s="4">
        <f t="shared" si="1"/>
        <v>0.20881763527054104</v>
      </c>
    </row>
    <row r="127" spans="2:5" hidden="1" x14ac:dyDescent="0.35">
      <c r="B127" t="s">
        <v>98</v>
      </c>
      <c r="C127" t="str">
        <f t="shared" ref="C127:E127" si="2">B9</f>
        <v>Moderate Income Units</v>
      </c>
      <c r="D127" s="7">
        <f t="shared" si="2"/>
        <v>5.2645290581162332</v>
      </c>
      <c r="E127" s="4">
        <f t="shared" si="2"/>
        <v>0.13161322645290582</v>
      </c>
    </row>
    <row r="128" spans="2:5" hidden="1" x14ac:dyDescent="0.35">
      <c r="B128" t="s">
        <v>98</v>
      </c>
      <c r="C128" t="str">
        <f t="shared" ref="C128:E128" si="3">B10</f>
        <v>Above Moderate Units</v>
      </c>
      <c r="D128" s="7">
        <f t="shared" si="3"/>
        <v>0</v>
      </c>
      <c r="E128" s="4">
        <f t="shared" si="3"/>
        <v>0</v>
      </c>
    </row>
    <row r="129" spans="2:5" hidden="1" x14ac:dyDescent="0.35">
      <c r="B129" t="s">
        <v>146</v>
      </c>
      <c r="C129" t="str">
        <f>B18</f>
        <v>Zero Rent / Extremely Low Income Units</v>
      </c>
      <c r="D129" s="7">
        <f>C18</f>
        <v>49.42523326653307</v>
      </c>
      <c r="E129" s="4">
        <f>D18</f>
        <v>0.45764104876419515</v>
      </c>
    </row>
    <row r="130" spans="2:5" hidden="1" x14ac:dyDescent="0.35">
      <c r="B130" t="s">
        <v>146</v>
      </c>
      <c r="C130" t="str">
        <f t="shared" ref="C130:E130" si="4">B19</f>
        <v>Very Low Income Units</v>
      </c>
      <c r="D130" s="7">
        <f t="shared" si="4"/>
        <v>23.711039278557113</v>
      </c>
      <c r="E130" s="4">
        <f t="shared" si="4"/>
        <v>0.21954665998663997</v>
      </c>
    </row>
    <row r="131" spans="2:5" hidden="1" x14ac:dyDescent="0.35">
      <c r="B131" t="s">
        <v>146</v>
      </c>
      <c r="C131" t="str">
        <f t="shared" ref="C131:E131" si="5">B20</f>
        <v>Low Income Units</v>
      </c>
      <c r="D131" s="7">
        <f t="shared" si="5"/>
        <v>29.252505010020037</v>
      </c>
      <c r="E131" s="4">
        <f t="shared" si="5"/>
        <v>0.27085652787055592</v>
      </c>
    </row>
    <row r="132" spans="2:5" hidden="1" x14ac:dyDescent="0.35">
      <c r="B132" t="s">
        <v>146</v>
      </c>
      <c r="C132" t="str">
        <f t="shared" ref="C132:E132" si="6">B21</f>
        <v>Moderate Income Units</v>
      </c>
      <c r="D132" s="7">
        <f t="shared" si="6"/>
        <v>5.2424849699398797</v>
      </c>
      <c r="E132" s="4">
        <f t="shared" si="6"/>
        <v>4.8541527499443335E-2</v>
      </c>
    </row>
    <row r="133" spans="2:5" hidden="1" x14ac:dyDescent="0.35">
      <c r="B133" t="s">
        <v>146</v>
      </c>
      <c r="C133" t="str">
        <f t="shared" ref="C133:E133" si="7">B22</f>
        <v>Above Moderate Units</v>
      </c>
      <c r="D133" s="7">
        <f t="shared" si="7"/>
        <v>0.36873747494989983</v>
      </c>
      <c r="E133" s="4">
        <f t="shared" si="7"/>
        <v>3.4142358791657396E-3</v>
      </c>
    </row>
    <row r="134" spans="2:5" hidden="1" x14ac:dyDescent="0.35">
      <c r="B134" t="s">
        <v>147</v>
      </c>
      <c r="C134" t="str">
        <f>B30</f>
        <v>Zero Rent / Extremely Low Income Units</v>
      </c>
      <c r="D134" s="7">
        <f>C30</f>
        <v>9</v>
      </c>
      <c r="E134" s="4">
        <f>D30</f>
        <v>0.5625</v>
      </c>
    </row>
    <row r="135" spans="2:5" hidden="1" x14ac:dyDescent="0.35">
      <c r="B135" t="s">
        <v>147</v>
      </c>
      <c r="C135" t="str">
        <f t="shared" ref="C135:E135" si="8">B31</f>
        <v>Very Low Income Units</v>
      </c>
      <c r="D135" s="7">
        <f t="shared" si="8"/>
        <v>4.1943887775551101</v>
      </c>
      <c r="E135" s="4">
        <f t="shared" si="8"/>
        <v>0.26214929859719438</v>
      </c>
    </row>
    <row r="136" spans="2:5" hidden="1" x14ac:dyDescent="0.35">
      <c r="B136" t="s">
        <v>147</v>
      </c>
      <c r="C136" t="str">
        <f t="shared" ref="C136:E136" si="9">B32</f>
        <v>Low Income Units</v>
      </c>
      <c r="D136" s="7">
        <f t="shared" si="9"/>
        <v>1.8056112224448899</v>
      </c>
      <c r="E136" s="4">
        <f t="shared" si="9"/>
        <v>0.11285070140280562</v>
      </c>
    </row>
    <row r="137" spans="2:5" hidden="1" x14ac:dyDescent="0.35">
      <c r="B137" t="s">
        <v>147</v>
      </c>
      <c r="C137" t="str">
        <f t="shared" ref="C137:E137" si="10">B33</f>
        <v>Moderate Income Units</v>
      </c>
      <c r="D137" s="7">
        <f t="shared" si="10"/>
        <v>1</v>
      </c>
      <c r="E137" s="4">
        <f t="shared" si="10"/>
        <v>6.25E-2</v>
      </c>
    </row>
    <row r="138" spans="2:5" hidden="1" x14ac:dyDescent="0.35">
      <c r="B138" t="s">
        <v>147</v>
      </c>
      <c r="C138" t="str">
        <f t="shared" ref="C138:E138" si="11">B34</f>
        <v>Above Moderate Units</v>
      </c>
      <c r="D138" s="7">
        <f t="shared" si="11"/>
        <v>0</v>
      </c>
      <c r="E138" s="4">
        <f t="shared" si="11"/>
        <v>0</v>
      </c>
    </row>
    <row r="139" spans="2:5" hidden="1" x14ac:dyDescent="0.35">
      <c r="B139" t="s">
        <v>148</v>
      </c>
      <c r="C139" t="str">
        <f>B42</f>
        <v>Zero Rent / Extremely Low Income Units</v>
      </c>
      <c r="D139" s="7">
        <f>C42</f>
        <v>3</v>
      </c>
      <c r="E139" s="4">
        <f>D42</f>
        <v>0.75</v>
      </c>
    </row>
    <row r="140" spans="2:5" hidden="1" x14ac:dyDescent="0.35">
      <c r="B140" t="s">
        <v>148</v>
      </c>
      <c r="C140" t="str">
        <f t="shared" ref="C140:E143" si="12">B43</f>
        <v>Very Low Income Units</v>
      </c>
      <c r="D140" s="7">
        <f t="shared" si="12"/>
        <v>0</v>
      </c>
      <c r="E140" s="4">
        <f t="shared" si="12"/>
        <v>0</v>
      </c>
    </row>
    <row r="141" spans="2:5" hidden="1" x14ac:dyDescent="0.35">
      <c r="B141" t="s">
        <v>148</v>
      </c>
      <c r="C141" t="str">
        <f t="shared" si="12"/>
        <v>Low Income Units</v>
      </c>
      <c r="D141" s="7">
        <f t="shared" si="12"/>
        <v>0.69378757515030021</v>
      </c>
      <c r="E141" s="4">
        <f t="shared" si="12"/>
        <v>0.17344689378757505</v>
      </c>
    </row>
    <row r="142" spans="2:5" hidden="1" x14ac:dyDescent="0.35">
      <c r="B142" t="s">
        <v>148</v>
      </c>
      <c r="C142" t="str">
        <f t="shared" si="12"/>
        <v>Moderate Income Units</v>
      </c>
      <c r="D142" s="7">
        <f t="shared" si="12"/>
        <v>0.30621242484969979</v>
      </c>
      <c r="E142" s="4">
        <f t="shared" si="12"/>
        <v>7.6553106212424948E-2</v>
      </c>
    </row>
    <row r="143" spans="2:5" hidden="1" x14ac:dyDescent="0.35">
      <c r="B143" t="s">
        <v>148</v>
      </c>
      <c r="C143" t="str">
        <f t="shared" si="12"/>
        <v>Above Moderate Units</v>
      </c>
      <c r="D143" s="7">
        <f t="shared" si="12"/>
        <v>0</v>
      </c>
      <c r="E143" s="4">
        <f t="shared" si="12"/>
        <v>0</v>
      </c>
    </row>
    <row r="144" spans="2:5" hidden="1" x14ac:dyDescent="0.35">
      <c r="B144" t="s">
        <v>149</v>
      </c>
      <c r="C144" t="str">
        <f>B54</f>
        <v>Zero Rent / Extremely Low Income Units</v>
      </c>
      <c r="D144" s="7">
        <f>C54</f>
        <v>4.2173253507014028</v>
      </c>
      <c r="E144" s="4">
        <f>D54</f>
        <v>0.13604275324843235</v>
      </c>
    </row>
    <row r="145" spans="2:5" hidden="1" x14ac:dyDescent="0.35">
      <c r="B145" t="s">
        <v>149</v>
      </c>
      <c r="C145" t="str">
        <f t="shared" ref="C145:E145" si="13">B55</f>
        <v>Very Low Income Units</v>
      </c>
      <c r="D145" s="7">
        <f t="shared" si="13"/>
        <v>4.0286666332665337</v>
      </c>
      <c r="E145" s="4">
        <f t="shared" si="13"/>
        <v>0.12995698816988818</v>
      </c>
    </row>
    <row r="146" spans="2:5" hidden="1" x14ac:dyDescent="0.35">
      <c r="B146" t="s">
        <v>149</v>
      </c>
      <c r="C146" t="str">
        <f t="shared" ref="C146:E146" si="14">B56</f>
        <v>Low Income Units</v>
      </c>
      <c r="D146" s="7">
        <f t="shared" si="14"/>
        <v>16.267034068136269</v>
      </c>
      <c r="E146" s="4">
        <f t="shared" si="14"/>
        <v>0.52474303445600867</v>
      </c>
    </row>
    <row r="147" spans="2:5" hidden="1" x14ac:dyDescent="0.35">
      <c r="B147" t="s">
        <v>149</v>
      </c>
      <c r="C147" t="str">
        <f t="shared" ref="C147:E147" si="15">B57</f>
        <v>Moderate Income Units</v>
      </c>
      <c r="D147" s="7">
        <f t="shared" si="15"/>
        <v>6.4869739478957928</v>
      </c>
      <c r="E147" s="4">
        <f t="shared" si="15"/>
        <v>0.20925722412567074</v>
      </c>
    </row>
    <row r="148" spans="2:5" hidden="1" x14ac:dyDescent="0.35">
      <c r="B148" t="s">
        <v>149</v>
      </c>
      <c r="C148" t="str">
        <f t="shared" ref="C148:E148" si="16">B58</f>
        <v>Above Moderate Units</v>
      </c>
      <c r="D148" s="7">
        <f t="shared" si="16"/>
        <v>0</v>
      </c>
      <c r="E148" s="4">
        <f t="shared" si="16"/>
        <v>0</v>
      </c>
    </row>
    <row r="149" spans="2:5" hidden="1" x14ac:dyDescent="0.35">
      <c r="B149" t="s">
        <v>150</v>
      </c>
      <c r="C149" t="str">
        <f>B66</f>
        <v>Zero Rent / Extremely Low Income Units</v>
      </c>
      <c r="D149" s="7">
        <f>C66</f>
        <v>48.497786272545092</v>
      </c>
      <c r="E149" s="4">
        <f>D66</f>
        <v>0.52148157282306551</v>
      </c>
    </row>
    <row r="150" spans="2:5" hidden="1" x14ac:dyDescent="0.35">
      <c r="B150" t="s">
        <v>150</v>
      </c>
      <c r="C150" t="str">
        <f t="shared" ref="C150:E150" si="17">B67</f>
        <v>Very Low Income Units</v>
      </c>
      <c r="D150" s="7">
        <f t="shared" si="17"/>
        <v>15.151011322645289</v>
      </c>
      <c r="E150" s="4">
        <f t="shared" si="17"/>
        <v>0.16291410024349773</v>
      </c>
    </row>
    <row r="151" spans="2:5" hidden="1" x14ac:dyDescent="0.35">
      <c r="B151" t="s">
        <v>150</v>
      </c>
      <c r="C151" t="str">
        <f t="shared" ref="C151:E151" si="18">B68</f>
        <v>Low Income Units</v>
      </c>
      <c r="D151" s="7">
        <f t="shared" si="18"/>
        <v>22.386873747494992</v>
      </c>
      <c r="E151" s="4">
        <f t="shared" si="18"/>
        <v>0.24071907255370958</v>
      </c>
    </row>
    <row r="152" spans="2:5" hidden="1" x14ac:dyDescent="0.35">
      <c r="B152" t="s">
        <v>150</v>
      </c>
      <c r="C152" t="str">
        <f t="shared" ref="C152:E152" si="19">B69</f>
        <v>Moderate Income Units</v>
      </c>
      <c r="D152" s="7">
        <f t="shared" si="19"/>
        <v>6.9643286573146312</v>
      </c>
      <c r="E152" s="4">
        <f t="shared" si="19"/>
        <v>7.488525437972722E-2</v>
      </c>
    </row>
    <row r="153" spans="2:5" hidden="1" x14ac:dyDescent="0.35">
      <c r="B153" t="s">
        <v>150</v>
      </c>
      <c r="C153" t="str">
        <f t="shared" ref="C153:E153" si="20">B70</f>
        <v>Above Moderate Units</v>
      </c>
      <c r="D153" s="7">
        <f t="shared" si="20"/>
        <v>0</v>
      </c>
      <c r="E153" s="4">
        <f t="shared" si="20"/>
        <v>0</v>
      </c>
    </row>
    <row r="154" spans="2:5" hidden="1" x14ac:dyDescent="0.35">
      <c r="B154" t="s">
        <v>151</v>
      </c>
      <c r="C154" t="str">
        <f>B78</f>
        <v>Zero Rent / Extremely Low Income Units</v>
      </c>
      <c r="D154" s="7">
        <f>C78</f>
        <v>106.79959919839679</v>
      </c>
      <c r="E154" s="4">
        <f>D78</f>
        <v>0.63571189999045707</v>
      </c>
    </row>
    <row r="155" spans="2:5" hidden="1" x14ac:dyDescent="0.35">
      <c r="B155" t="s">
        <v>151</v>
      </c>
      <c r="C155" t="str">
        <f t="shared" ref="C155:E155" si="21">B79</f>
        <v>Very Low Income Units</v>
      </c>
      <c r="D155" s="7">
        <f t="shared" si="21"/>
        <v>15.496993987975952</v>
      </c>
      <c r="E155" s="4">
        <f t="shared" si="21"/>
        <v>9.2244011833190184E-2</v>
      </c>
    </row>
    <row r="156" spans="2:5" hidden="1" x14ac:dyDescent="0.35">
      <c r="B156" t="s">
        <v>151</v>
      </c>
      <c r="C156" t="str">
        <f t="shared" ref="C156:E156" si="22">B80</f>
        <v>Low Income Units</v>
      </c>
      <c r="D156" s="7">
        <f t="shared" si="22"/>
        <v>31.738276553106207</v>
      </c>
      <c r="E156" s="4">
        <f t="shared" si="22"/>
        <v>0.18891831281610838</v>
      </c>
    </row>
    <row r="157" spans="2:5" hidden="1" x14ac:dyDescent="0.35">
      <c r="B157" t="s">
        <v>151</v>
      </c>
      <c r="C157" t="str">
        <f t="shared" ref="C157:E157" si="23">B81</f>
        <v>Moderate Income Units</v>
      </c>
      <c r="D157" s="7">
        <f t="shared" si="23"/>
        <v>13.965130260521045</v>
      </c>
      <c r="E157" s="4">
        <f t="shared" si="23"/>
        <v>8.3125775360244319E-2</v>
      </c>
    </row>
    <row r="158" spans="2:5" hidden="1" x14ac:dyDescent="0.35">
      <c r="B158" t="s">
        <v>151</v>
      </c>
      <c r="C158" t="str">
        <f t="shared" ref="C158:E158" si="24">B82</f>
        <v>Above Moderate Units</v>
      </c>
      <c r="D158" s="7">
        <f t="shared" si="24"/>
        <v>0</v>
      </c>
      <c r="E158" s="4">
        <f t="shared" si="24"/>
        <v>0</v>
      </c>
    </row>
    <row r="159" spans="2:5" hidden="1" x14ac:dyDescent="0.35">
      <c r="B159" t="s">
        <v>152</v>
      </c>
      <c r="C159" t="str">
        <f>B90</f>
        <v>Zero Rent / Extremely Low Income Units</v>
      </c>
      <c r="D159" s="7">
        <f>C90</f>
        <v>8.15015</v>
      </c>
      <c r="E159" s="4">
        <f>D90</f>
        <v>0.4794205882352941</v>
      </c>
    </row>
    <row r="160" spans="2:5" hidden="1" x14ac:dyDescent="0.35">
      <c r="B160" t="s">
        <v>152</v>
      </c>
      <c r="C160" t="str">
        <f t="shared" ref="C160:E163" si="25">B91</f>
        <v>Very Low Income Units</v>
      </c>
      <c r="D160" s="7">
        <f t="shared" si="25"/>
        <v>2.4159822645290578</v>
      </c>
      <c r="E160" s="4">
        <f t="shared" si="25"/>
        <v>0.14211660379582694</v>
      </c>
    </row>
    <row r="161" spans="2:5" hidden="1" x14ac:dyDescent="0.35">
      <c r="B161" t="s">
        <v>152</v>
      </c>
      <c r="C161" t="str">
        <f t="shared" si="25"/>
        <v>Low Income Units</v>
      </c>
      <c r="D161" s="7">
        <f t="shared" si="25"/>
        <v>4.9184368737474946</v>
      </c>
      <c r="E161" s="4">
        <f t="shared" si="25"/>
        <v>0.28931981610279378</v>
      </c>
    </row>
    <row r="162" spans="2:5" hidden="1" x14ac:dyDescent="0.35">
      <c r="B162" t="s">
        <v>152</v>
      </c>
      <c r="C162" t="str">
        <f t="shared" si="25"/>
        <v>Moderate Income Units</v>
      </c>
      <c r="D162" s="7">
        <f t="shared" si="25"/>
        <v>1.5154308617234475</v>
      </c>
      <c r="E162" s="4">
        <f t="shared" si="25"/>
        <v>8.9142991866085153E-2</v>
      </c>
    </row>
    <row r="163" spans="2:5" hidden="1" x14ac:dyDescent="0.35">
      <c r="B163" t="s">
        <v>152</v>
      </c>
      <c r="C163" t="str">
        <f t="shared" si="25"/>
        <v>Above Moderate Units</v>
      </c>
      <c r="D163" s="7">
        <f t="shared" si="25"/>
        <v>0</v>
      </c>
      <c r="E163" s="4">
        <f t="shared" si="25"/>
        <v>0</v>
      </c>
    </row>
    <row r="164" spans="2:5" hidden="1" x14ac:dyDescent="0.35">
      <c r="B164" t="s">
        <v>153</v>
      </c>
      <c r="C164" t="str">
        <f>B102</f>
        <v>Zero Rent / Extremely Low Income Units</v>
      </c>
      <c r="D164" s="7">
        <f>C102</f>
        <v>9.782</v>
      </c>
      <c r="E164" s="4">
        <f>D102</f>
        <v>0.34935714285714287</v>
      </c>
    </row>
    <row r="165" spans="2:5" hidden="1" x14ac:dyDescent="0.35">
      <c r="B165" t="s">
        <v>153</v>
      </c>
      <c r="C165" t="str">
        <f t="shared" ref="C165:E165" si="26">B103</f>
        <v>Very Low Income Units</v>
      </c>
      <c r="D165" s="7">
        <f t="shared" si="26"/>
        <v>1.8272184368737476</v>
      </c>
      <c r="E165" s="4">
        <f t="shared" si="26"/>
        <v>6.5257801316919564E-2</v>
      </c>
    </row>
    <row r="166" spans="2:5" hidden="1" x14ac:dyDescent="0.35">
      <c r="B166" t="s">
        <v>153</v>
      </c>
      <c r="C166" t="str">
        <f t="shared" ref="C166:E166" si="27">B104</f>
        <v>Low Income Units</v>
      </c>
      <c r="D166" s="7">
        <f t="shared" si="27"/>
        <v>6.5350701402805607</v>
      </c>
      <c r="E166" s="4">
        <f t="shared" si="27"/>
        <v>0.23339536215287718</v>
      </c>
    </row>
    <row r="167" spans="2:5" hidden="1" x14ac:dyDescent="0.35">
      <c r="B167" t="s">
        <v>153</v>
      </c>
      <c r="C167" t="str">
        <f t="shared" ref="C167:E167" si="28">B105</f>
        <v>Moderate Income Units</v>
      </c>
      <c r="D167" s="7">
        <f t="shared" si="28"/>
        <v>9.1903807615230448</v>
      </c>
      <c r="E167" s="4">
        <f t="shared" si="28"/>
        <v>0.32822788434010874</v>
      </c>
    </row>
    <row r="168" spans="2:5" hidden="1" x14ac:dyDescent="0.35">
      <c r="B168" t="s">
        <v>153</v>
      </c>
      <c r="C168" t="str">
        <f t="shared" ref="C168:E168" si="29">B106</f>
        <v>Above Moderate Units</v>
      </c>
      <c r="D168" s="7">
        <f t="shared" si="29"/>
        <v>0.66533066132264529</v>
      </c>
      <c r="E168" s="4">
        <f t="shared" si="29"/>
        <v>2.3761809332951616E-2</v>
      </c>
    </row>
    <row r="169" spans="2:5" hidden="1" x14ac:dyDescent="0.35"/>
    <row r="170" spans="2:5" hidden="1" x14ac:dyDescent="0.35"/>
  </sheetData>
  <sheetProtection algorithmName="SHA-512" hashValue="uZqD+Ug1YlBJtU3TFRLCc+ex7+LtD1O3PyCtAJ3VwGJS77e5z9BxAkOOeP04vbLS9xNUsQBTTqFnZqI79GoNCw==" saltValue="ZCfMWVQ0cV4mwW6dBBuaLA==" spinCount="100000" sheet="1" objects="1" scenarios="1"/>
  <mergeCells count="3">
    <mergeCell ref="Y5:AG5"/>
    <mergeCell ref="Y29:AG29"/>
    <mergeCell ref="Y53:AF53"/>
  </mergeCells>
  <phoneticPr fontId="25" type="noConversion"/>
  <pageMargins left="0.7" right="0.7" top="0.75" bottom="0.75" header="0.3" footer="0.3"/>
  <ignoredErrors>
    <ignoredError sqref="C6:C10 C103:C106" calculatedColumn="1"/>
  </ignoredErrors>
  <drawing r:id="rId1"/>
  <tableParts count="10">
    <tablePart r:id="rId2"/>
    <tablePart r:id="rId3"/>
    <tablePart r:id="rId4"/>
    <tablePart r:id="rId5"/>
    <tablePart r:id="rId6"/>
    <tablePart r:id="rId7"/>
    <tablePart r:id="rId8"/>
    <tablePart r:id="rId9"/>
    <tablePart r:id="rId10"/>
    <tablePart r:id="rId1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D33B4-7645-4769-9A4B-06F2BE30D2DE}">
  <sheetPr codeName="Sheet1"/>
  <dimension ref="A1:T54"/>
  <sheetViews>
    <sheetView topLeftCell="A2" zoomScale="75" zoomScaleNormal="75" workbookViewId="0">
      <selection activeCell="B5" sqref="B5"/>
    </sheetView>
  </sheetViews>
  <sheetFormatPr defaultRowHeight="14.5" x14ac:dyDescent="0.35"/>
  <cols>
    <col min="1" max="1" width="48.1796875" customWidth="1"/>
    <col min="2" max="2" width="20.54296875" customWidth="1"/>
    <col min="3" max="3" width="22.1796875" customWidth="1"/>
  </cols>
  <sheetData>
    <row r="1" spans="1:16" ht="23.5" x14ac:dyDescent="0.55000000000000004">
      <c r="A1" s="9" t="s">
        <v>154</v>
      </c>
    </row>
    <row r="2" spans="1:16" ht="114.75" customHeight="1" x14ac:dyDescent="0.35">
      <c r="A2" s="10" t="s">
        <v>155</v>
      </c>
    </row>
    <row r="3" spans="1:16" ht="18.5" x14ac:dyDescent="0.45">
      <c r="A3" s="6" t="s">
        <v>156</v>
      </c>
    </row>
    <row r="4" spans="1:16" ht="15.5" x14ac:dyDescent="0.35">
      <c r="A4" t="s">
        <v>90</v>
      </c>
      <c r="B4" t="s">
        <v>37</v>
      </c>
      <c r="C4" t="s">
        <v>13</v>
      </c>
      <c r="F4" s="12" t="s">
        <v>157</v>
      </c>
      <c r="P4" s="12" t="s">
        <v>158</v>
      </c>
    </row>
    <row r="5" spans="1:16" x14ac:dyDescent="0.35">
      <c r="A5" t="s">
        <v>159</v>
      </c>
      <c r="B5">
        <f>COUNTIF('ADU Homeowner Survey 2025'!U:U,'Demographic Data'!A5)</f>
        <v>96</v>
      </c>
      <c r="C5" s="4">
        <f>B5/(COUNTA('ADU Homeowner Survey 2025'!U:U)-1)</f>
        <v>0.18640776699029127</v>
      </c>
    </row>
    <row r="6" spans="1:16" x14ac:dyDescent="0.35">
      <c r="A6" t="s">
        <v>160</v>
      </c>
      <c r="B6">
        <f>COUNTIF('ADU Homeowner Survey 2025'!U:U,'Demographic Data'!A6)</f>
        <v>419</v>
      </c>
      <c r="C6" s="4">
        <f>B6/(COUNTA('ADU Homeowner Survey 2025'!U:U)-1)</f>
        <v>0.81359223300970873</v>
      </c>
    </row>
    <row r="7" spans="1:16" x14ac:dyDescent="0.35">
      <c r="A7" s="5"/>
    </row>
    <row r="9" spans="1:16" ht="18.5" x14ac:dyDescent="0.45">
      <c r="A9" s="6" t="s">
        <v>161</v>
      </c>
    </row>
    <row r="10" spans="1:16" x14ac:dyDescent="0.35">
      <c r="A10" t="s">
        <v>90</v>
      </c>
      <c r="B10" t="s">
        <v>37</v>
      </c>
      <c r="C10" t="s">
        <v>13</v>
      </c>
    </row>
    <row r="11" spans="1:16" x14ac:dyDescent="0.35">
      <c r="A11" t="s">
        <v>162</v>
      </c>
      <c r="B11">
        <f>COUNTIF('ADU Homeowner Survey 2025'!V:V,'Demographic Data'!A11)</f>
        <v>20</v>
      </c>
      <c r="C11" s="4">
        <f>B11/$B$5</f>
        <v>0.20833333333333334</v>
      </c>
      <c r="N11" s="5"/>
    </row>
    <row r="12" spans="1:16" x14ac:dyDescent="0.35">
      <c r="A12" t="s">
        <v>163</v>
      </c>
      <c r="B12">
        <f>COUNTIF('ADU Homeowner Survey 2025'!V:V,'Demographic Data'!A12)</f>
        <v>47</v>
      </c>
      <c r="C12" s="4">
        <f t="shared" ref="C12:C14" si="0">B12/$B$5</f>
        <v>0.48958333333333331</v>
      </c>
    </row>
    <row r="13" spans="1:16" x14ac:dyDescent="0.35">
      <c r="A13" t="s">
        <v>164</v>
      </c>
      <c r="B13">
        <f>COUNTIF('ADU Homeowner Survey 2025'!V:V,'Demographic Data'!A13)</f>
        <v>26</v>
      </c>
      <c r="C13" s="4">
        <f t="shared" si="0"/>
        <v>0.27083333333333331</v>
      </c>
    </row>
    <row r="14" spans="1:16" x14ac:dyDescent="0.35">
      <c r="A14" t="s">
        <v>165</v>
      </c>
      <c r="B14">
        <f>COUNTIF('ADU Homeowner Survey 2025'!V:V,'Demographic Data'!A14)</f>
        <v>1</v>
      </c>
      <c r="C14" s="4">
        <f t="shared" si="0"/>
        <v>1.0416666666666666E-2</v>
      </c>
    </row>
    <row r="16" spans="1:16" ht="18.5" x14ac:dyDescent="0.45">
      <c r="A16" s="6" t="s">
        <v>166</v>
      </c>
    </row>
    <row r="17" spans="1:20" x14ac:dyDescent="0.35">
      <c r="A17" t="s">
        <v>90</v>
      </c>
      <c r="B17" t="s">
        <v>37</v>
      </c>
      <c r="C17" t="s">
        <v>13</v>
      </c>
    </row>
    <row r="18" spans="1:20" x14ac:dyDescent="0.35">
      <c r="A18" t="s">
        <v>167</v>
      </c>
      <c r="B18">
        <f>COUNTIF('ADU Homeowner Survey 2025'!W:W,"*Asian*")</f>
        <v>27</v>
      </c>
      <c r="C18" s="4">
        <f>B18/$B$5</f>
        <v>0.28125</v>
      </c>
    </row>
    <row r="19" spans="1:20" x14ac:dyDescent="0.35">
      <c r="A19" t="s">
        <v>168</v>
      </c>
      <c r="B19">
        <f>COUNTIF('ADU Homeowner Survey 2025'!W:W,"*Black/African American*")</f>
        <v>2</v>
      </c>
      <c r="C19" s="4">
        <f t="shared" ref="C19:C23" si="1">B19/$B$5</f>
        <v>2.0833333333333332E-2</v>
      </c>
    </row>
    <row r="20" spans="1:20" x14ac:dyDescent="0.35">
      <c r="A20" t="s">
        <v>169</v>
      </c>
      <c r="B20">
        <f>COUNTIF('ADU Homeowner Survey 2025'!W:W,"*Latino/Hispanic*")</f>
        <v>12</v>
      </c>
      <c r="C20" s="4">
        <f t="shared" si="1"/>
        <v>0.125</v>
      </c>
    </row>
    <row r="21" spans="1:20" x14ac:dyDescent="0.35">
      <c r="A21" t="s">
        <v>170</v>
      </c>
      <c r="B21">
        <f>COUNTIF('ADU Homeowner Survey 2025'!W:W,"*White*")</f>
        <v>54</v>
      </c>
      <c r="C21" s="4">
        <f t="shared" si="1"/>
        <v>0.5625</v>
      </c>
    </row>
    <row r="22" spans="1:20" x14ac:dyDescent="0.35">
      <c r="A22" t="s">
        <v>171</v>
      </c>
      <c r="B22">
        <f>COUNTIF('ADU Homeowner Survey 2025'!W:W,"*Another race*")</f>
        <v>2</v>
      </c>
      <c r="C22" s="4">
        <f t="shared" si="1"/>
        <v>2.0833333333333332E-2</v>
      </c>
    </row>
    <row r="23" spans="1:20" x14ac:dyDescent="0.35">
      <c r="A23" t="s">
        <v>165</v>
      </c>
      <c r="B23">
        <f>COUNTIF('ADU Homeowner Survey 2025'!W:W,"*Decline to state*")</f>
        <v>5</v>
      </c>
      <c r="C23" s="4">
        <f t="shared" si="1"/>
        <v>5.2083333333333336E-2</v>
      </c>
    </row>
    <row r="26" spans="1:20" ht="18.5" x14ac:dyDescent="0.45">
      <c r="A26" s="6" t="s">
        <v>172</v>
      </c>
    </row>
    <row r="27" spans="1:20" ht="15.5" x14ac:dyDescent="0.35">
      <c r="A27" t="s">
        <v>90</v>
      </c>
      <c r="B27" t="s">
        <v>37</v>
      </c>
      <c r="C27" t="s">
        <v>13</v>
      </c>
      <c r="F27" s="12" t="s">
        <v>173</v>
      </c>
      <c r="T27" s="12" t="s">
        <v>174</v>
      </c>
    </row>
    <row r="28" spans="1:20" x14ac:dyDescent="0.35">
      <c r="A28" t="s">
        <v>175</v>
      </c>
      <c r="B28">
        <f>COUNTIF('ADU Homeowner Survey 2025'!Y:Y,"*English*")</f>
        <v>84</v>
      </c>
      <c r="C28" s="4">
        <f>B28/$B$5</f>
        <v>0.875</v>
      </c>
    </row>
    <row r="29" spans="1:20" x14ac:dyDescent="0.35">
      <c r="A29" t="s">
        <v>176</v>
      </c>
      <c r="B29">
        <f>COUNTIF('ADU Homeowner Survey 2025'!Y:Y,"*Spanish*")</f>
        <v>8</v>
      </c>
      <c r="C29" s="4">
        <f t="shared" ref="C29:C32" si="2">B29/$B$5</f>
        <v>8.3333333333333329E-2</v>
      </c>
    </row>
    <row r="30" spans="1:20" x14ac:dyDescent="0.35">
      <c r="A30" t="s">
        <v>177</v>
      </c>
      <c r="B30">
        <f>COUNTIF('ADU Homeowner Survey 2025'!Y:Y,"*Chinese*")</f>
        <v>6</v>
      </c>
      <c r="C30" s="4">
        <f t="shared" si="2"/>
        <v>6.25E-2</v>
      </c>
    </row>
    <row r="31" spans="1:20" x14ac:dyDescent="0.35">
      <c r="A31" t="s">
        <v>178</v>
      </c>
      <c r="B31">
        <f>COUNTIF('ADU Homeowner Survey 2025'!Y:Y,"*Another language*")</f>
        <v>6</v>
      </c>
      <c r="C31" s="4">
        <f t="shared" si="2"/>
        <v>6.25E-2</v>
      </c>
    </row>
    <row r="32" spans="1:20" x14ac:dyDescent="0.35">
      <c r="A32" t="s">
        <v>165</v>
      </c>
      <c r="B32">
        <f>COUNTIF('ADU Homeowner Survey 2025'!Y:Y,"*Decline to state*")</f>
        <v>1</v>
      </c>
      <c r="C32" s="4">
        <f t="shared" si="2"/>
        <v>1.0416666666666666E-2</v>
      </c>
    </row>
    <row r="34" spans="1:3" ht="18.5" x14ac:dyDescent="0.45">
      <c r="A34" s="6" t="s">
        <v>179</v>
      </c>
    </row>
    <row r="35" spans="1:3" x14ac:dyDescent="0.35">
      <c r="A35" t="s">
        <v>90</v>
      </c>
      <c r="B35" t="s">
        <v>37</v>
      </c>
      <c r="C35" t="s">
        <v>13</v>
      </c>
    </row>
    <row r="36" spans="1:3" x14ac:dyDescent="0.35">
      <c r="A36" s="3" t="s">
        <v>180</v>
      </c>
      <c r="B36">
        <f>COUNTIF('ADU Homeowner Survey 2025'!AA:AA,1)</f>
        <v>7</v>
      </c>
      <c r="C36" s="4">
        <f t="shared" ref="C36:C41" si="3">B36/$B$5</f>
        <v>7.2916666666666671E-2</v>
      </c>
    </row>
    <row r="37" spans="1:3" x14ac:dyDescent="0.35">
      <c r="A37" s="3" t="s">
        <v>181</v>
      </c>
      <c r="B37">
        <f>COUNTIF('ADU Homeowner Survey 2025'!AA:AA,2)</f>
        <v>30</v>
      </c>
      <c r="C37" s="4">
        <f t="shared" si="3"/>
        <v>0.3125</v>
      </c>
    </row>
    <row r="38" spans="1:3" x14ac:dyDescent="0.35">
      <c r="A38" s="3" t="s">
        <v>182</v>
      </c>
      <c r="B38">
        <f>COUNTIF('ADU Homeowner Survey 2025'!AA:AA,3)</f>
        <v>17</v>
      </c>
      <c r="C38" s="4">
        <f t="shared" si="3"/>
        <v>0.17708333333333334</v>
      </c>
    </row>
    <row r="39" spans="1:3" x14ac:dyDescent="0.35">
      <c r="A39" s="3" t="s">
        <v>183</v>
      </c>
      <c r="B39">
        <f>COUNTIF('ADU Homeowner Survey 2025'!AA:AA,4)</f>
        <v>24</v>
      </c>
      <c r="C39" s="4">
        <f t="shared" si="3"/>
        <v>0.25</v>
      </c>
    </row>
    <row r="40" spans="1:3" x14ac:dyDescent="0.35">
      <c r="A40" s="3" t="s">
        <v>184</v>
      </c>
      <c r="B40">
        <f>COUNTIF('ADU Homeowner Survey 2025'!AA:AA,"5 or more")</f>
        <v>15</v>
      </c>
      <c r="C40" s="4">
        <f t="shared" si="3"/>
        <v>0.15625</v>
      </c>
    </row>
    <row r="41" spans="1:3" x14ac:dyDescent="0.35">
      <c r="A41" s="3" t="s">
        <v>165</v>
      </c>
      <c r="B41">
        <f>COUNTIF('ADU Homeowner Survey 2025'!AA:AA,"Decline to state")</f>
        <v>2</v>
      </c>
      <c r="C41" s="4">
        <f t="shared" si="3"/>
        <v>2.0833333333333332E-2</v>
      </c>
    </row>
    <row r="43" spans="1:3" ht="18.5" x14ac:dyDescent="0.45">
      <c r="A43" s="6" t="s">
        <v>185</v>
      </c>
    </row>
    <row r="44" spans="1:3" x14ac:dyDescent="0.35">
      <c r="A44" t="s">
        <v>90</v>
      </c>
      <c r="B44" t="s">
        <v>37</v>
      </c>
      <c r="C44" t="s">
        <v>13</v>
      </c>
    </row>
    <row r="45" spans="1:3" x14ac:dyDescent="0.35">
      <c r="A45" t="s">
        <v>186</v>
      </c>
      <c r="B45">
        <f>COUNTIF('ADU Homeowner Survey 2025'!AB:AB,'Demographic Data'!A45)</f>
        <v>10</v>
      </c>
      <c r="C45" s="4">
        <f>B45/$B$5</f>
        <v>0.10416666666666667</v>
      </c>
    </row>
    <row r="46" spans="1:3" x14ac:dyDescent="0.35">
      <c r="A46" t="s">
        <v>187</v>
      </c>
      <c r="B46">
        <f>COUNTIF('ADU Homeowner Survey 2025'!AB:AB,'Demographic Data'!A46)</f>
        <v>7</v>
      </c>
      <c r="C46" s="4">
        <f t="shared" ref="C46:C50" si="4">B46/$B$5</f>
        <v>7.2916666666666671E-2</v>
      </c>
    </row>
    <row r="47" spans="1:3" x14ac:dyDescent="0.35">
      <c r="A47" t="s">
        <v>188</v>
      </c>
      <c r="B47">
        <f>COUNTIF('ADU Homeowner Survey 2025'!AB:AB,'Demographic Data'!A47)</f>
        <v>12</v>
      </c>
      <c r="C47" s="4">
        <f t="shared" si="4"/>
        <v>0.125</v>
      </c>
    </row>
    <row r="48" spans="1:3" x14ac:dyDescent="0.35">
      <c r="A48" t="s">
        <v>189</v>
      </c>
      <c r="B48">
        <f>COUNTIF('ADU Homeowner Survey 2025'!AB:AB,'Demographic Data'!A48)</f>
        <v>11</v>
      </c>
      <c r="C48" s="4">
        <f t="shared" si="4"/>
        <v>0.11458333333333333</v>
      </c>
    </row>
    <row r="49" spans="1:20" x14ac:dyDescent="0.35">
      <c r="A49" t="s">
        <v>190</v>
      </c>
      <c r="B49">
        <f>COUNTIF('ADU Homeowner Survey 2025'!AB:AB,'Demographic Data'!A49)</f>
        <v>33</v>
      </c>
      <c r="C49" s="4">
        <f t="shared" si="4"/>
        <v>0.34375</v>
      </c>
    </row>
    <row r="50" spans="1:20" x14ac:dyDescent="0.35">
      <c r="A50" t="s">
        <v>165</v>
      </c>
      <c r="B50">
        <f>COUNTIF('ADU Homeowner Survey 2025'!AB:AB,'Demographic Data'!A50)</f>
        <v>21</v>
      </c>
      <c r="C50" s="4">
        <f t="shared" si="4"/>
        <v>0.21875</v>
      </c>
    </row>
    <row r="51" spans="1:20" x14ac:dyDescent="0.35">
      <c r="C51" s="4"/>
    </row>
    <row r="54" spans="1:20" ht="15.5" x14ac:dyDescent="0.35">
      <c r="F54" s="12" t="s">
        <v>191</v>
      </c>
      <c r="T54" s="12" t="s">
        <v>192</v>
      </c>
    </row>
  </sheetData>
  <sheetProtection algorithmName="SHA-512" hashValue="oHrp4ge312XSgkOHWezAvISDbFtS0uVr8pwjPNKnHJ1Q6TLgj2U9/4qBJvoCOf33KeyLp8zvXL5DmFIqM/fITw==" saltValue="4+zxvBJOJ8eds3ivHzf+6w==" spinCount="100000" sheet="1" objects="1" scenarios="1"/>
  <pageMargins left="0.7" right="0.7" top="0.75" bottom="0.75" header="0.3" footer="0.3"/>
  <pageSetup orientation="portrait" horizontalDpi="1200" verticalDpi="1200" r:id="rId1"/>
  <ignoredErrors>
    <ignoredError sqref="B36:B41" calculatedColumn="1"/>
  </ignoredErrors>
  <drawing r:id="rId2"/>
  <tableParts count="6">
    <tablePart r:id="rId3"/>
    <tablePart r:id="rId4"/>
    <tablePart r:id="rId5"/>
    <tablePart r:id="rId6"/>
    <tablePart r:id="rId7"/>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89BCE-C1AA-413C-AB1B-C742A8565361}">
  <dimension ref="A1:A13"/>
  <sheetViews>
    <sheetView topLeftCell="A7" zoomScale="75" zoomScaleNormal="75" workbookViewId="0"/>
  </sheetViews>
  <sheetFormatPr defaultRowHeight="14.5" x14ac:dyDescent="0.35"/>
  <cols>
    <col min="1" max="1" width="170" customWidth="1"/>
  </cols>
  <sheetData>
    <row r="1" spans="1:1" ht="23.5" x14ac:dyDescent="0.55000000000000004">
      <c r="A1" s="9" t="s">
        <v>193</v>
      </c>
    </row>
    <row r="2" spans="1:1" ht="23.5" x14ac:dyDescent="0.55000000000000004">
      <c r="A2" s="9" t="s">
        <v>194</v>
      </c>
    </row>
    <row r="3" spans="1:1" ht="80.25" customHeight="1" x14ac:dyDescent="0.35">
      <c r="A3" s="10" t="s">
        <v>195</v>
      </c>
    </row>
    <row r="4" spans="1:1" ht="18" customHeight="1" x14ac:dyDescent="0.35">
      <c r="A4" s="10" t="str">
        <f>"The ABAG and San Jose survey data was exported on 1/28/2026 and received a total of "&amp;COUNT(('ADU Homeowner Survey 2025'!A:A))&amp;" responses."</f>
        <v>The ABAG and San Jose survey data was exported on 1/28/2026 and received a total of 605 responses.</v>
      </c>
    </row>
    <row r="5" spans="1:1" ht="18" customHeight="1" x14ac:dyDescent="0.35">
      <c r="A5" s="10"/>
    </row>
    <row r="6" spans="1:1" ht="23.5" x14ac:dyDescent="0.55000000000000004">
      <c r="A6" s="9" t="s">
        <v>196</v>
      </c>
    </row>
    <row r="7" spans="1:1" ht="46.5" x14ac:dyDescent="0.35">
      <c r="A7" s="10" t="s">
        <v>197</v>
      </c>
    </row>
    <row r="8" spans="1:1" ht="15.5" x14ac:dyDescent="0.35">
      <c r="A8" s="10"/>
    </row>
    <row r="9" spans="1:1" ht="23.5" x14ac:dyDescent="0.55000000000000004">
      <c r="A9" s="9" t="s">
        <v>198</v>
      </c>
    </row>
    <row r="10" spans="1:1" ht="403" x14ac:dyDescent="0.35">
      <c r="A10" s="10" t="s">
        <v>199</v>
      </c>
    </row>
    <row r="11" spans="1:1" ht="21" customHeight="1" x14ac:dyDescent="0.35"/>
    <row r="12" spans="1:1" ht="23.25" customHeight="1" x14ac:dyDescent="0.55000000000000004">
      <c r="A12" s="9" t="s">
        <v>200</v>
      </c>
    </row>
    <row r="13" spans="1:1" ht="131.25" customHeight="1" x14ac:dyDescent="0.35">
      <c r="A13" s="10" t="s">
        <v>201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0F6BB-769E-4873-8E76-5F402E53B614}">
  <dimension ref="A1:U378"/>
  <sheetViews>
    <sheetView topLeftCell="A338" zoomScale="75" zoomScaleNormal="75" workbookViewId="0">
      <selection activeCell="H370" sqref="H370"/>
    </sheetView>
  </sheetViews>
  <sheetFormatPr defaultRowHeight="14.5" x14ac:dyDescent="0.35"/>
  <cols>
    <col min="1" max="1" width="15.1796875" customWidth="1"/>
    <col min="2" max="2" width="25.1796875" customWidth="1"/>
    <col min="3" max="3" width="22.453125" customWidth="1"/>
    <col min="4" max="4" width="19.1796875" customWidth="1"/>
    <col min="5" max="5" width="20.7265625" customWidth="1"/>
    <col min="6" max="6" width="14" bestFit="1" customWidth="1"/>
    <col min="7" max="7" width="14.453125" customWidth="1"/>
    <col min="10" max="10" width="21.453125" customWidth="1"/>
    <col min="11" max="11" width="20.54296875" customWidth="1"/>
    <col min="12" max="12" width="16.453125" customWidth="1"/>
    <col min="13" max="13" width="19.1796875" customWidth="1"/>
    <col min="14" max="14" width="15.7265625" customWidth="1"/>
    <col min="15" max="15" width="16.453125" customWidth="1"/>
    <col min="16" max="16" width="19" customWidth="1"/>
    <col min="17" max="17" width="16.26953125" customWidth="1"/>
    <col min="18" max="20" width="16.1796875" customWidth="1"/>
    <col min="21" max="21" width="19.1796875" customWidth="1"/>
  </cols>
  <sheetData>
    <row r="1" spans="1:21" ht="24" thickBot="1" x14ac:dyDescent="0.6">
      <c r="A1" s="31" t="s">
        <v>202</v>
      </c>
      <c r="C1" s="9"/>
    </row>
    <row r="2" spans="1:21" ht="15.5" x14ac:dyDescent="0.35">
      <c r="A2" s="14" t="s">
        <v>17</v>
      </c>
      <c r="B2" s="15">
        <v>159800</v>
      </c>
      <c r="D2" s="4"/>
    </row>
    <row r="3" spans="1:21" ht="15.5" x14ac:dyDescent="0.35">
      <c r="A3" s="16" t="s">
        <v>18</v>
      </c>
      <c r="B3" s="17">
        <v>159800</v>
      </c>
      <c r="D3" s="4"/>
    </row>
    <row r="4" spans="1:21" ht="15.5" x14ac:dyDescent="0.35">
      <c r="A4" s="16" t="s">
        <v>19</v>
      </c>
      <c r="B4" s="17">
        <v>186600</v>
      </c>
      <c r="D4" s="4"/>
    </row>
    <row r="5" spans="1:21" ht="15.5" x14ac:dyDescent="0.35">
      <c r="A5" s="16" t="s">
        <v>20</v>
      </c>
      <c r="B5" s="17">
        <v>146700</v>
      </c>
      <c r="D5" s="4"/>
    </row>
    <row r="6" spans="1:21" ht="15.5" x14ac:dyDescent="0.35">
      <c r="A6" s="16" t="s">
        <v>21</v>
      </c>
      <c r="B6" s="17">
        <v>186600</v>
      </c>
      <c r="D6" s="4"/>
    </row>
    <row r="7" spans="1:21" ht="15.5" x14ac:dyDescent="0.35">
      <c r="A7" s="16" t="s">
        <v>22</v>
      </c>
      <c r="B7" s="17">
        <v>186600</v>
      </c>
      <c r="D7" s="4"/>
    </row>
    <row r="8" spans="1:21" ht="15.5" x14ac:dyDescent="0.35">
      <c r="A8" s="16" t="s">
        <v>23</v>
      </c>
      <c r="B8" s="17">
        <v>195200</v>
      </c>
      <c r="D8" s="4"/>
    </row>
    <row r="9" spans="1:21" ht="15.5" x14ac:dyDescent="0.35">
      <c r="A9" s="16" t="s">
        <v>24</v>
      </c>
      <c r="B9" s="17">
        <v>124600</v>
      </c>
      <c r="D9" s="4"/>
    </row>
    <row r="10" spans="1:21" ht="16" thickBot="1" x14ac:dyDescent="0.4">
      <c r="A10" s="18" t="s">
        <v>25</v>
      </c>
      <c r="B10" s="19">
        <v>132000</v>
      </c>
      <c r="D10" s="4"/>
    </row>
    <row r="13" spans="1:21" ht="15" thickBot="1" x14ac:dyDescent="0.4"/>
    <row r="14" spans="1:21" ht="15.5" x14ac:dyDescent="0.35">
      <c r="A14" s="14" t="s">
        <v>98</v>
      </c>
      <c r="B14" s="20"/>
      <c r="C14" s="20"/>
      <c r="D14" s="20"/>
      <c r="E14" s="20"/>
      <c r="F14" s="20"/>
      <c r="G14" s="20"/>
      <c r="H14" s="20"/>
      <c r="I14" s="20"/>
      <c r="J14" s="20"/>
      <c r="K14" s="20"/>
      <c r="L14" s="20"/>
      <c r="M14" s="20"/>
      <c r="N14" s="20"/>
      <c r="O14" s="20"/>
      <c r="P14" s="20"/>
      <c r="Q14" s="20"/>
      <c r="R14" s="20"/>
      <c r="S14" s="20"/>
      <c r="T14" s="20"/>
      <c r="U14" s="21"/>
    </row>
    <row r="15" spans="1:21" ht="15.5" x14ac:dyDescent="0.35">
      <c r="A15" s="16"/>
      <c r="B15" s="12"/>
      <c r="C15" s="12"/>
      <c r="D15" s="12"/>
      <c r="E15" s="12"/>
      <c r="F15" s="12"/>
      <c r="G15" s="12"/>
      <c r="H15" s="12"/>
      <c r="I15" s="12"/>
      <c r="K15" s="5" t="s">
        <v>42</v>
      </c>
      <c r="L15" s="5" t="s">
        <v>42</v>
      </c>
      <c r="M15" s="5" t="s">
        <v>203</v>
      </c>
      <c r="N15" s="5" t="s">
        <v>203</v>
      </c>
      <c r="O15" s="5" t="s">
        <v>204</v>
      </c>
      <c r="P15" s="5" t="s">
        <v>204</v>
      </c>
      <c r="Q15" s="5" t="s">
        <v>205</v>
      </c>
      <c r="R15" s="5" t="s">
        <v>205</v>
      </c>
      <c r="S15" s="12"/>
      <c r="T15" s="12"/>
      <c r="U15" s="24"/>
    </row>
    <row r="16" spans="1:21" ht="15.5" x14ac:dyDescent="0.35">
      <c r="A16" s="16"/>
      <c r="B16" s="12"/>
      <c r="C16" s="12"/>
      <c r="D16" s="12"/>
      <c r="E16" s="12"/>
      <c r="F16" s="12"/>
      <c r="G16" s="12"/>
      <c r="H16" s="12"/>
      <c r="I16" s="12"/>
      <c r="J16" s="37"/>
      <c r="K16" s="37" t="s">
        <v>206</v>
      </c>
      <c r="L16" s="37" t="s">
        <v>207</v>
      </c>
      <c r="M16" s="37" t="s">
        <v>206</v>
      </c>
      <c r="N16" s="37" t="s">
        <v>207</v>
      </c>
      <c r="O16" s="37" t="s">
        <v>206</v>
      </c>
      <c r="P16" s="37" t="s">
        <v>207</v>
      </c>
      <c r="Q16" s="37" t="s">
        <v>206</v>
      </c>
      <c r="R16" s="37" t="s">
        <v>207</v>
      </c>
      <c r="S16" s="12"/>
      <c r="T16" s="12"/>
      <c r="U16" s="24"/>
    </row>
    <row r="17" spans="1:21" ht="15.5" x14ac:dyDescent="0.35">
      <c r="A17" s="16"/>
      <c r="B17" s="12"/>
      <c r="C17" s="12"/>
      <c r="D17" s="12"/>
      <c r="F17" s="12"/>
      <c r="G17" s="12"/>
      <c r="H17" s="12"/>
      <c r="I17" s="12"/>
      <c r="J17" s="29" t="s">
        <v>67</v>
      </c>
      <c r="K17" s="12" t="s">
        <v>208</v>
      </c>
      <c r="L17" s="36">
        <f>C38/1000</f>
        <v>0.83894999999999997</v>
      </c>
      <c r="M17" s="12" t="s">
        <v>208</v>
      </c>
      <c r="N17" s="38">
        <f>C39/1000</f>
        <v>0.9588000000000001</v>
      </c>
      <c r="O17" s="36" t="s">
        <v>208</v>
      </c>
      <c r="P17" s="35">
        <v>1</v>
      </c>
      <c r="Q17" s="12" t="s">
        <v>208</v>
      </c>
      <c r="R17" s="35">
        <v>1</v>
      </c>
      <c r="S17" s="12"/>
      <c r="T17" s="12"/>
      <c r="U17" s="24"/>
    </row>
    <row r="18" spans="1:21" ht="15.5" x14ac:dyDescent="0.35">
      <c r="A18" s="16"/>
      <c r="B18" s="12"/>
      <c r="C18" s="12"/>
      <c r="D18" s="12"/>
      <c r="E18" s="12"/>
      <c r="F18" s="12"/>
      <c r="G18" s="12"/>
      <c r="H18" s="12"/>
      <c r="I18" s="12"/>
      <c r="J18" s="29" t="s">
        <v>67</v>
      </c>
      <c r="K18" s="12" t="s">
        <v>209</v>
      </c>
      <c r="L18" s="35">
        <f>1-L17</f>
        <v>0.16105000000000003</v>
      </c>
      <c r="M18" s="12" t="s">
        <v>209</v>
      </c>
      <c r="N18" s="38">
        <f>1-N17</f>
        <v>4.1199999999999903E-2</v>
      </c>
      <c r="O18" s="35" t="s">
        <v>208</v>
      </c>
      <c r="P18" s="35">
        <v>1</v>
      </c>
      <c r="Q18" s="12" t="s">
        <v>208</v>
      </c>
      <c r="R18" s="35">
        <v>1</v>
      </c>
      <c r="S18" s="12"/>
      <c r="T18" s="12"/>
      <c r="U18" s="24"/>
    </row>
    <row r="19" spans="1:21" ht="15.5" x14ac:dyDescent="0.35">
      <c r="A19" s="16"/>
      <c r="B19" s="12"/>
      <c r="C19" s="12"/>
      <c r="D19" s="12"/>
      <c r="E19" s="12"/>
      <c r="F19" s="12"/>
      <c r="G19" s="12"/>
      <c r="H19" s="12"/>
      <c r="I19" s="12"/>
      <c r="J19" s="29" t="s">
        <v>68</v>
      </c>
      <c r="K19" s="12" t="s">
        <v>209</v>
      </c>
      <c r="L19" s="35">
        <f>398/499</f>
        <v>0.79759519038076154</v>
      </c>
      <c r="M19" s="38" t="s">
        <v>209</v>
      </c>
      <c r="N19" s="35">
        <v>1</v>
      </c>
      <c r="O19" s="35" t="s">
        <v>208</v>
      </c>
      <c r="P19" s="35">
        <f>79/499</f>
        <v>0.15831663326653306</v>
      </c>
      <c r="Q19" s="12" t="s">
        <v>208</v>
      </c>
      <c r="R19" s="35">
        <f>199/499</f>
        <v>0.39879759519038077</v>
      </c>
      <c r="S19" s="12"/>
      <c r="T19" s="12"/>
      <c r="U19" s="24"/>
    </row>
    <row r="20" spans="1:21" ht="15.5" x14ac:dyDescent="0.35">
      <c r="A20" s="16"/>
      <c r="B20" s="12"/>
      <c r="C20" s="12"/>
      <c r="D20" s="12"/>
      <c r="E20" s="12"/>
      <c r="G20" s="12"/>
      <c r="H20" s="12"/>
      <c r="I20" s="12"/>
      <c r="J20" s="29" t="s">
        <v>68</v>
      </c>
      <c r="K20" s="12" t="s">
        <v>210</v>
      </c>
      <c r="L20" s="35">
        <f>1-L19</f>
        <v>0.20240480961923846</v>
      </c>
      <c r="M20" s="38" t="s">
        <v>209</v>
      </c>
      <c r="N20" s="35">
        <v>1</v>
      </c>
      <c r="O20" s="35" t="s">
        <v>209</v>
      </c>
      <c r="P20" s="35">
        <f>1-P19</f>
        <v>0.84168336673346689</v>
      </c>
      <c r="Q20" s="12" t="s">
        <v>209</v>
      </c>
      <c r="R20" s="35">
        <f>1-R19</f>
        <v>0.60120240480961917</v>
      </c>
      <c r="S20" s="12"/>
      <c r="T20" s="12"/>
      <c r="U20" s="24"/>
    </row>
    <row r="21" spans="1:21" ht="15.5" x14ac:dyDescent="0.35">
      <c r="A21" s="16"/>
      <c r="B21" s="12"/>
      <c r="C21" s="12"/>
      <c r="D21" s="12"/>
      <c r="E21" s="12"/>
      <c r="F21" s="12"/>
      <c r="G21" s="12"/>
      <c r="H21" s="12"/>
      <c r="I21" s="12"/>
      <c r="J21" s="29" t="s">
        <v>69</v>
      </c>
      <c r="K21" s="12" t="s">
        <v>210</v>
      </c>
      <c r="L21" s="35">
        <v>1</v>
      </c>
      <c r="M21" s="38" t="s">
        <v>209</v>
      </c>
      <c r="N21" s="36">
        <f>98/499</f>
        <v>0.19639278557114229</v>
      </c>
      <c r="O21" s="12" t="s">
        <v>209</v>
      </c>
      <c r="P21" s="35">
        <f>298/499</f>
        <v>0.59719438877755515</v>
      </c>
      <c r="Q21" s="12" t="s">
        <v>209</v>
      </c>
      <c r="R21" s="35">
        <f>498/499</f>
        <v>0.99799599198396793</v>
      </c>
      <c r="S21" s="12"/>
      <c r="T21" s="12"/>
      <c r="U21" s="24"/>
    </row>
    <row r="22" spans="1:21" ht="15.5" x14ac:dyDescent="0.35">
      <c r="A22" s="16"/>
      <c r="B22" s="12"/>
      <c r="C22" s="12"/>
      <c r="D22" s="12"/>
      <c r="E22" s="12"/>
      <c r="F22" s="12"/>
      <c r="G22" s="12"/>
      <c r="H22" s="12"/>
      <c r="I22" s="12"/>
      <c r="J22" s="29" t="s">
        <v>69</v>
      </c>
      <c r="K22" s="12" t="s">
        <v>210</v>
      </c>
      <c r="L22" s="35">
        <v>1</v>
      </c>
      <c r="M22" s="38" t="s">
        <v>210</v>
      </c>
      <c r="N22" s="35">
        <f>1-N21</f>
        <v>0.80360721442885774</v>
      </c>
      <c r="O22" s="12" t="s">
        <v>210</v>
      </c>
      <c r="P22" s="35">
        <f>1-P21</f>
        <v>0.40280561122244485</v>
      </c>
      <c r="Q22" s="12" t="s">
        <v>209</v>
      </c>
      <c r="R22" s="35">
        <v>1</v>
      </c>
      <c r="S22" s="12"/>
      <c r="T22" s="12"/>
      <c r="U22" s="24"/>
    </row>
    <row r="23" spans="1:21" ht="15.5" x14ac:dyDescent="0.35">
      <c r="A23" s="16"/>
      <c r="B23" s="12"/>
      <c r="C23" s="12"/>
      <c r="D23" s="12"/>
      <c r="E23" s="12"/>
      <c r="F23" s="12"/>
      <c r="G23" s="12"/>
      <c r="H23" s="12"/>
      <c r="I23" s="12"/>
      <c r="J23" s="29" t="s">
        <v>70</v>
      </c>
      <c r="K23" s="12" t="s">
        <v>210</v>
      </c>
      <c r="L23" s="36">
        <f>237/499</f>
        <v>0.47494989979959917</v>
      </c>
      <c r="M23" s="38" t="s">
        <v>210</v>
      </c>
      <c r="N23" s="35">
        <v>1</v>
      </c>
      <c r="O23" s="36" t="s">
        <v>210</v>
      </c>
      <c r="P23" s="35">
        <v>1</v>
      </c>
      <c r="Q23" s="12" t="s">
        <v>210</v>
      </c>
      <c r="R23" s="35">
        <v>1</v>
      </c>
      <c r="S23" s="12"/>
      <c r="T23" s="12"/>
      <c r="U23" s="24"/>
    </row>
    <row r="24" spans="1:21" ht="15.5" x14ac:dyDescent="0.35">
      <c r="A24" s="16"/>
      <c r="B24" s="12"/>
      <c r="C24" s="12"/>
      <c r="D24" s="12"/>
      <c r="E24" s="12"/>
      <c r="F24" s="12"/>
      <c r="G24" s="12"/>
      <c r="H24" s="12"/>
      <c r="I24" s="12"/>
      <c r="J24" s="29" t="s">
        <v>70</v>
      </c>
      <c r="K24" s="12" t="s">
        <v>211</v>
      </c>
      <c r="L24" s="36">
        <f>1-L23</f>
        <v>0.52505010020040088</v>
      </c>
      <c r="M24" s="38" t="s">
        <v>210</v>
      </c>
      <c r="N24" s="35">
        <v>1</v>
      </c>
      <c r="O24" s="36" t="s">
        <v>210</v>
      </c>
      <c r="P24" s="35">
        <v>1</v>
      </c>
      <c r="Q24" s="12" t="s">
        <v>210</v>
      </c>
      <c r="R24" s="35">
        <v>1</v>
      </c>
      <c r="S24" s="12"/>
      <c r="T24" s="12"/>
      <c r="U24" s="24"/>
    </row>
    <row r="25" spans="1:21" ht="15.5" x14ac:dyDescent="0.35">
      <c r="A25" s="16"/>
      <c r="B25" s="12"/>
      <c r="C25" s="12"/>
      <c r="D25" s="12"/>
      <c r="E25" s="12"/>
      <c r="F25" s="12"/>
      <c r="G25" s="12"/>
      <c r="H25" s="12"/>
      <c r="I25" s="12"/>
      <c r="J25" s="29" t="s">
        <v>71</v>
      </c>
      <c r="K25" s="12" t="s">
        <v>211</v>
      </c>
      <c r="L25" s="35">
        <v>1</v>
      </c>
      <c r="M25" s="38" t="s">
        <v>210</v>
      </c>
      <c r="N25" s="35">
        <f>57/499</f>
        <v>0.11422845691382766</v>
      </c>
      <c r="O25" s="12" t="s">
        <v>210</v>
      </c>
      <c r="P25" s="35">
        <f>376/499</f>
        <v>0.75350701402805609</v>
      </c>
      <c r="Q25" s="12" t="s">
        <v>210</v>
      </c>
      <c r="R25" s="35">
        <v>1</v>
      </c>
      <c r="S25" s="12"/>
      <c r="T25" s="12"/>
      <c r="U25" s="24"/>
    </row>
    <row r="26" spans="1:21" ht="15.5" x14ac:dyDescent="0.35">
      <c r="A26" s="16"/>
      <c r="B26" s="12"/>
      <c r="C26" s="12"/>
      <c r="D26" s="12"/>
      <c r="E26" s="12"/>
      <c r="F26" s="12"/>
      <c r="G26" s="12"/>
      <c r="H26" s="12"/>
      <c r="I26" s="12"/>
      <c r="J26" s="29" t="s">
        <v>71</v>
      </c>
      <c r="K26" s="12" t="s">
        <v>211</v>
      </c>
      <c r="L26" s="35">
        <v>1</v>
      </c>
      <c r="M26" s="38" t="s">
        <v>211</v>
      </c>
      <c r="N26" s="35">
        <f>1-N25</f>
        <v>0.88577154308617234</v>
      </c>
      <c r="O26" s="12" t="s">
        <v>211</v>
      </c>
      <c r="P26" s="35">
        <f>1-P25</f>
        <v>0.24649298597194391</v>
      </c>
      <c r="Q26" s="12" t="s">
        <v>210</v>
      </c>
      <c r="R26" s="35">
        <v>1</v>
      </c>
      <c r="S26" s="12"/>
      <c r="T26" s="12"/>
      <c r="U26" s="24"/>
    </row>
    <row r="27" spans="1:21" ht="15.5" x14ac:dyDescent="0.35">
      <c r="A27" s="16"/>
      <c r="B27" s="12"/>
      <c r="C27" s="12"/>
      <c r="D27" s="12"/>
      <c r="E27" s="12"/>
      <c r="F27" s="12"/>
      <c r="G27" s="12"/>
      <c r="H27" s="12"/>
      <c r="I27" s="12"/>
      <c r="J27" s="29" t="s">
        <v>72</v>
      </c>
      <c r="K27" s="12" t="s">
        <v>211</v>
      </c>
      <c r="L27" s="36">
        <f>356/499</f>
        <v>0.71342685370741488</v>
      </c>
      <c r="M27" s="38" t="s">
        <v>211</v>
      </c>
      <c r="N27" s="35">
        <v>1</v>
      </c>
      <c r="O27" s="36" t="s">
        <v>211</v>
      </c>
      <c r="P27" s="35">
        <v>1</v>
      </c>
      <c r="Q27" s="12" t="s">
        <v>210</v>
      </c>
      <c r="R27" s="35">
        <f>196/499</f>
        <v>0.39278557114228457</v>
      </c>
      <c r="S27" s="12"/>
      <c r="T27" s="12"/>
      <c r="U27" s="24"/>
    </row>
    <row r="28" spans="1:21" ht="15.5" x14ac:dyDescent="0.35">
      <c r="A28" s="22" t="s">
        <v>212</v>
      </c>
      <c r="B28" s="23">
        <f>'2025 Affordability Calcluations'!B2</f>
        <v>159800</v>
      </c>
      <c r="C28" s="12"/>
      <c r="D28" s="12"/>
      <c r="E28" s="12"/>
      <c r="F28" s="12"/>
      <c r="G28" s="12"/>
      <c r="J28" s="29" t="s">
        <v>72</v>
      </c>
      <c r="K28" s="12" t="s">
        <v>213</v>
      </c>
      <c r="L28" s="35">
        <f>1-L27</f>
        <v>0.28657314629258512</v>
      </c>
      <c r="M28" s="38" t="s">
        <v>211</v>
      </c>
      <c r="N28" s="35">
        <v>1</v>
      </c>
      <c r="O28" s="35" t="s">
        <v>211</v>
      </c>
      <c r="P28" s="35">
        <v>1</v>
      </c>
      <c r="Q28" s="12" t="s">
        <v>211</v>
      </c>
      <c r="R28" s="35">
        <f>1-R27</f>
        <v>0.60721442885771548</v>
      </c>
      <c r="S28" s="12"/>
      <c r="T28" s="12"/>
      <c r="U28" s="24"/>
    </row>
    <row r="29" spans="1:21" ht="15.5" x14ac:dyDescent="0.35">
      <c r="A29" s="25" t="s">
        <v>214</v>
      </c>
      <c r="B29" s="12"/>
      <c r="C29" s="12"/>
      <c r="D29" s="12"/>
      <c r="E29" s="12"/>
      <c r="F29" s="12"/>
      <c r="G29" s="12"/>
      <c r="H29" s="12"/>
      <c r="I29" s="12"/>
      <c r="J29" s="29" t="s">
        <v>73</v>
      </c>
      <c r="K29" s="12" t="s">
        <v>213</v>
      </c>
      <c r="L29" s="35">
        <v>1</v>
      </c>
      <c r="M29" s="38" t="s">
        <v>211</v>
      </c>
      <c r="N29" s="36">
        <f>335/499</f>
        <v>0.67134268537074149</v>
      </c>
      <c r="O29" s="12" t="s">
        <v>211</v>
      </c>
      <c r="P29" s="35">
        <v>1</v>
      </c>
      <c r="Q29" s="12" t="s">
        <v>211</v>
      </c>
      <c r="R29" s="35">
        <v>1</v>
      </c>
      <c r="S29" s="12"/>
      <c r="T29" s="12"/>
      <c r="U29" s="24"/>
    </row>
    <row r="30" spans="1:21" ht="15.5" x14ac:dyDescent="0.35">
      <c r="A30" s="16"/>
      <c r="B30" s="32" t="s">
        <v>215</v>
      </c>
      <c r="C30" s="32" t="s">
        <v>208</v>
      </c>
      <c r="D30" s="32" t="s">
        <v>209</v>
      </c>
      <c r="E30" s="32" t="s">
        <v>210</v>
      </c>
      <c r="F30" s="32" t="s">
        <v>211</v>
      </c>
      <c r="G30" s="12"/>
      <c r="H30" s="12"/>
      <c r="I30" s="12"/>
      <c r="J30" s="29" t="s">
        <v>73</v>
      </c>
      <c r="K30" s="12" t="s">
        <v>213</v>
      </c>
      <c r="L30" s="35">
        <v>1</v>
      </c>
      <c r="M30" s="38" t="s">
        <v>213</v>
      </c>
      <c r="N30" s="35">
        <f>1-N29</f>
        <v>0.32865731462925851</v>
      </c>
      <c r="O30" s="12" t="s">
        <v>211</v>
      </c>
      <c r="P30" s="35">
        <v>1</v>
      </c>
      <c r="Q30" s="12" t="s">
        <v>211</v>
      </c>
      <c r="R30" s="35">
        <v>1</v>
      </c>
      <c r="S30" s="12"/>
      <c r="T30" s="12"/>
      <c r="U30" s="24"/>
    </row>
    <row r="31" spans="1:21" ht="15.5" x14ac:dyDescent="0.35">
      <c r="A31" s="16" t="s">
        <v>42</v>
      </c>
      <c r="B31" s="39">
        <f>B28*0.7</f>
        <v>111860</v>
      </c>
      <c r="C31" s="39">
        <f>B31*0.3</f>
        <v>33558</v>
      </c>
      <c r="D31" s="39">
        <f>B31*0.5</f>
        <v>55930</v>
      </c>
      <c r="E31" s="39">
        <f>B31*0.8</f>
        <v>89488</v>
      </c>
      <c r="F31" s="39">
        <f>B31*1.2</f>
        <v>134232</v>
      </c>
      <c r="G31" s="12"/>
      <c r="H31" s="12"/>
      <c r="I31" s="12"/>
      <c r="J31" s="29" t="s">
        <v>74</v>
      </c>
      <c r="K31" s="12" t="s">
        <v>213</v>
      </c>
      <c r="L31" s="35">
        <v>1</v>
      </c>
      <c r="M31" s="38" t="s">
        <v>213</v>
      </c>
      <c r="N31" s="35">
        <v>1</v>
      </c>
      <c r="O31" s="12" t="s">
        <v>211</v>
      </c>
      <c r="P31" s="35">
        <f>315/499</f>
        <v>0.63126252505010017</v>
      </c>
      <c r="Q31" s="12" t="s">
        <v>211</v>
      </c>
      <c r="R31" s="35">
        <v>1</v>
      </c>
      <c r="S31" s="12"/>
      <c r="T31" s="12"/>
      <c r="U31" s="24"/>
    </row>
    <row r="32" spans="1:21" ht="15.5" x14ac:dyDescent="0.35">
      <c r="A32" s="16" t="s">
        <v>216</v>
      </c>
      <c r="B32" s="39">
        <f>B28*0.8</f>
        <v>127840</v>
      </c>
      <c r="C32" s="39">
        <f>B32*0.3</f>
        <v>38352</v>
      </c>
      <c r="D32" s="39">
        <f t="shared" ref="D32:D34" si="0">B32*0.5</f>
        <v>63920</v>
      </c>
      <c r="E32" s="39">
        <f t="shared" ref="E32:E34" si="1">B32*0.8</f>
        <v>102272</v>
      </c>
      <c r="F32" s="39">
        <f t="shared" ref="F32:F34" si="2">B32*1.2</f>
        <v>153408</v>
      </c>
      <c r="G32" s="12"/>
      <c r="H32" s="12"/>
      <c r="I32" s="12"/>
      <c r="J32" s="29" t="s">
        <v>74</v>
      </c>
      <c r="K32" s="12" t="s">
        <v>213</v>
      </c>
      <c r="L32" s="35">
        <v>1</v>
      </c>
      <c r="M32" s="38" t="s">
        <v>213</v>
      </c>
      <c r="N32" s="35">
        <v>1</v>
      </c>
      <c r="O32" s="12" t="s">
        <v>213</v>
      </c>
      <c r="P32" s="35">
        <f>1-P31</f>
        <v>0.36873747494989983</v>
      </c>
      <c r="Q32" s="12" t="s">
        <v>211</v>
      </c>
      <c r="R32" s="35">
        <v>1</v>
      </c>
      <c r="S32" s="12"/>
      <c r="T32" s="12"/>
      <c r="U32" s="24"/>
    </row>
    <row r="33" spans="1:21" ht="15.5" x14ac:dyDescent="0.35">
      <c r="A33" s="16" t="s">
        <v>217</v>
      </c>
      <c r="B33" s="39">
        <f>B28*0.9</f>
        <v>143820</v>
      </c>
      <c r="C33" s="39">
        <f>B33*0.3</f>
        <v>43146</v>
      </c>
      <c r="D33" s="39">
        <f t="shared" si="0"/>
        <v>71910</v>
      </c>
      <c r="E33" s="39">
        <f t="shared" si="1"/>
        <v>115056</v>
      </c>
      <c r="F33" s="39">
        <f t="shared" si="2"/>
        <v>172584</v>
      </c>
      <c r="G33" s="12"/>
      <c r="H33" s="12"/>
      <c r="I33" s="12"/>
      <c r="J33" s="29" t="s">
        <v>75</v>
      </c>
      <c r="K33" s="12" t="s">
        <v>213</v>
      </c>
      <c r="L33" s="35">
        <v>1</v>
      </c>
      <c r="M33" s="38" t="s">
        <v>213</v>
      </c>
      <c r="N33" s="35">
        <v>1</v>
      </c>
      <c r="O33" s="12" t="s">
        <v>213</v>
      </c>
      <c r="P33" s="35">
        <v>1</v>
      </c>
      <c r="Q33" s="12" t="s">
        <v>211</v>
      </c>
      <c r="R33" s="35">
        <v>1</v>
      </c>
      <c r="S33" s="12"/>
      <c r="T33" s="12"/>
      <c r="U33" s="24"/>
    </row>
    <row r="34" spans="1:21" ht="15.5" x14ac:dyDescent="0.35">
      <c r="A34" s="16" t="s">
        <v>218</v>
      </c>
      <c r="B34" s="39">
        <f>B28</f>
        <v>159800</v>
      </c>
      <c r="C34" s="39">
        <f t="shared" ref="C34" si="3">B34*0.3</f>
        <v>47940</v>
      </c>
      <c r="D34" s="39">
        <f t="shared" si="0"/>
        <v>79900</v>
      </c>
      <c r="E34" s="39">
        <f t="shared" si="1"/>
        <v>127840</v>
      </c>
      <c r="F34" s="39">
        <f t="shared" si="2"/>
        <v>191760</v>
      </c>
      <c r="G34" s="12"/>
      <c r="H34" s="12"/>
      <c r="I34" s="12"/>
      <c r="J34" s="12"/>
      <c r="K34" s="12"/>
      <c r="L34" s="12"/>
      <c r="M34" s="12"/>
      <c r="N34" s="12"/>
      <c r="O34" s="12"/>
      <c r="P34" s="12"/>
      <c r="Q34" s="12"/>
      <c r="R34" s="12"/>
      <c r="S34" s="12"/>
      <c r="T34" s="12"/>
      <c r="U34" s="24"/>
    </row>
    <row r="35" spans="1:21" ht="15.75" customHeight="1" x14ac:dyDescent="0.35">
      <c r="A35" s="16"/>
      <c r="B35" s="12"/>
      <c r="C35" s="12"/>
      <c r="D35" s="12"/>
      <c r="E35" s="12"/>
      <c r="F35" s="12"/>
      <c r="G35" s="12"/>
      <c r="H35" s="52" t="s">
        <v>219</v>
      </c>
      <c r="I35" s="52"/>
      <c r="J35" s="52"/>
      <c r="K35" s="52"/>
      <c r="L35" s="52"/>
      <c r="M35" s="52"/>
      <c r="N35" s="52"/>
      <c r="O35" s="52"/>
      <c r="P35" s="52"/>
      <c r="Q35" s="52"/>
      <c r="R35" s="12"/>
      <c r="S35" s="12"/>
      <c r="T35" s="12"/>
      <c r="U35" s="24"/>
    </row>
    <row r="36" spans="1:21" ht="15.5" x14ac:dyDescent="0.35">
      <c r="A36" s="25" t="s">
        <v>220</v>
      </c>
      <c r="B36" s="12"/>
      <c r="C36" s="12"/>
      <c r="D36" s="12"/>
      <c r="E36" s="12"/>
      <c r="F36" s="12"/>
      <c r="G36" s="12"/>
      <c r="H36" s="52"/>
      <c r="I36" s="52"/>
      <c r="J36" s="52"/>
      <c r="K36" s="52"/>
      <c r="L36" s="52"/>
      <c r="M36" s="52"/>
      <c r="N36" s="52"/>
      <c r="O36" s="52"/>
      <c r="P36" s="52"/>
      <c r="Q36" s="52"/>
      <c r="R36" s="12"/>
      <c r="S36" s="12"/>
      <c r="T36" s="12"/>
      <c r="U36" s="24"/>
    </row>
    <row r="37" spans="1:21" ht="15.5" x14ac:dyDescent="0.35">
      <c r="A37" s="16"/>
      <c r="B37" s="32" t="s">
        <v>215</v>
      </c>
      <c r="C37" s="33" t="s">
        <v>208</v>
      </c>
      <c r="D37" s="32" t="s">
        <v>209</v>
      </c>
      <c r="E37" s="32" t="s">
        <v>210</v>
      </c>
      <c r="F37" s="32" t="s">
        <v>211</v>
      </c>
      <c r="G37" s="12"/>
      <c r="H37" s="12"/>
      <c r="I37" s="12" t="s">
        <v>76</v>
      </c>
      <c r="J37" s="12" t="s">
        <v>165</v>
      </c>
      <c r="K37" s="12" t="s">
        <v>79</v>
      </c>
      <c r="L37" s="29" t="s">
        <v>67</v>
      </c>
      <c r="M37" s="29" t="s">
        <v>68</v>
      </c>
      <c r="N37" s="29" t="s">
        <v>69</v>
      </c>
      <c r="O37" s="29" t="s">
        <v>70</v>
      </c>
      <c r="P37" s="29" t="s">
        <v>71</v>
      </c>
      <c r="Q37" s="29" t="s">
        <v>72</v>
      </c>
      <c r="R37" s="29" t="s">
        <v>73</v>
      </c>
      <c r="S37" s="29" t="s">
        <v>74</v>
      </c>
      <c r="T37" s="29" t="s">
        <v>75</v>
      </c>
      <c r="U37" s="24"/>
    </row>
    <row r="38" spans="1:21" ht="15.5" x14ac:dyDescent="0.35">
      <c r="A38" s="16" t="s">
        <v>42</v>
      </c>
      <c r="B38" s="34">
        <f>B31*0.3/12</f>
        <v>2796.5</v>
      </c>
      <c r="C38" s="34">
        <f>C31*0.3/12</f>
        <v>838.94999999999993</v>
      </c>
      <c r="D38" s="34">
        <f>D31*0.3/12</f>
        <v>1398.25</v>
      </c>
      <c r="E38" s="34">
        <f>E31*0.3/12</f>
        <v>2237.1999999999998</v>
      </c>
      <c r="F38" s="34">
        <f>F31*0.3/12</f>
        <v>3355.7999999999997</v>
      </c>
      <c r="G38" s="12"/>
      <c r="H38" s="12" t="s">
        <v>42</v>
      </c>
      <c r="I38" s="12">
        <f>COUNTIFS('ADU Homeowner Survey 2025'!$AG:$AG,"2025",'ADU Homeowner Survey 2025'!$B:$B,"Alameda County", 'ADU Homeowner Survey 2025'!$Q:$Q, "0 (studio)",'ADU Homeowner Survey 2025'!$R:$R, "Not planning to use for housing")</f>
        <v>4</v>
      </c>
      <c r="J38" s="12">
        <f>COUNTIFS('ADU Homeowner Survey 2025'!$AG:$AG,"2025",'ADU Homeowner Survey 2025'!$B:$B,"Alameda County", 'ADU Homeowner Survey 2025'!$Q:$Q, "0 (studio)",'ADU Homeowner Survey 2025'!$R:$R, "Decline to state")</f>
        <v>3</v>
      </c>
      <c r="K38" s="12">
        <f>COUNTIFS('ADU Homeowner Survey 2025'!$AG:$AG,"2025",'ADU Homeowner Survey 2025'!$B:$B,"Alameda County", 'ADU Homeowner Survey 2025'!$Q:$Q, "0 (studio)",'ADU Homeowner Survey 2025'!$R:$R, "Not planning to charge rent")</f>
        <v>3</v>
      </c>
      <c r="L38" s="12">
        <f>COUNTIFS('ADU Homeowner Survey 2025'!$AG:$AG,"2025",'ADU Homeowner Survey 2025'!$B:$B,"Alameda County", 'ADU Homeowner Survey 2025'!$Q:$Q, "0 (studio)",'ADU Homeowner Survey 2025'!$R:$R, "$1 - $1,000")</f>
        <v>2</v>
      </c>
      <c r="M38" s="12">
        <f>COUNTIFS('ADU Homeowner Survey 2025'!$AG:$AG,"2025",'ADU Homeowner Survey 2025'!$B:$B,"Alameda County", 'ADU Homeowner Survey 2025'!$Q:$Q, "0 (studio)",'ADU Homeowner Survey 2025'!$R:$R, "$1,001 - $1,500")</f>
        <v>0</v>
      </c>
      <c r="N38" s="12">
        <f>COUNTIFS('ADU Homeowner Survey 2025'!$AG:$AG,"2025",'ADU Homeowner Survey 2025'!$B:$B,"Alameda County", 'ADU Homeowner Survey 2025'!$Q:$Q, "0 (studio)",'ADU Homeowner Survey 2025'!$R:$R, "$1,501 - $2,000")</f>
        <v>0</v>
      </c>
      <c r="O38" s="12">
        <f>COUNTIFS('ADU Homeowner Survey 2025'!$AG:$AG,"2025",'ADU Homeowner Survey 2025'!$B:$B,"Alameda County", 'ADU Homeowner Survey 2025'!$Q:$Q, "0 (studio)",'ADU Homeowner Survey 2025'!$R:$R, "$2,001 - $2,500")</f>
        <v>0</v>
      </c>
      <c r="P38" s="12">
        <f>COUNTIFS('ADU Homeowner Survey 2025'!$AG:$AG,"2025",'ADU Homeowner Survey 2025'!$B:$B,"Alameda County", 'ADU Homeowner Survey 2025'!$Q:$Q, "0 (studio)",'ADU Homeowner Survey 2025'!$R:$R, "$2,501 - $3,000")</f>
        <v>0</v>
      </c>
      <c r="Q38" s="12">
        <f>COUNTIFS('ADU Homeowner Survey 2025'!$AG:$AG,"2025",'ADU Homeowner Survey 2025'!$B:$B,"Alameda County", 'ADU Homeowner Survey 2025'!$Q:$Q, "0 (studio)",'ADU Homeowner Survey 2025'!$R:$R, "$3,001 - $3,500")</f>
        <v>0</v>
      </c>
      <c r="R38" s="12">
        <f>COUNTIFS('ADU Homeowner Survey 2025'!$AG:$AG,"2025",'ADU Homeowner Survey 2025'!$B:$B,"Alameda County", 'ADU Homeowner Survey 2025'!$Q:$Q, "0 (studio)",'ADU Homeowner Survey 2025'!$R:$R, "$3,501 - $4,000")</f>
        <v>0</v>
      </c>
      <c r="S38" s="12">
        <f>COUNTIFS('ADU Homeowner Survey 2025'!$AG:$AG,"2025",'ADU Homeowner Survey 2025'!$B:$B,"Alameda County", 'ADU Homeowner Survey 2025'!$Q:$Q, "0 (studio)",'ADU Homeowner Survey 2025'!$R:$R, "$4,001 - $4,500")</f>
        <v>0</v>
      </c>
      <c r="T38" s="12">
        <f>COUNTIFS('ADU Homeowner Survey 2025'!$AG:$AG,"2025",'ADU Homeowner Survey 2025'!$B:$B,"Alameda County", 'ADU Homeowner Survey 2025'!$Q:$Q, "0 (studio)",'ADU Homeowner Survey 2025'!$R:$R, "More than $4,500")</f>
        <v>0</v>
      </c>
      <c r="U38" s="24">
        <f>SUM(I38:T38)</f>
        <v>12</v>
      </c>
    </row>
    <row r="39" spans="1:21" ht="15.5" x14ac:dyDescent="0.35">
      <c r="A39" s="16" t="s">
        <v>216</v>
      </c>
      <c r="B39" s="34">
        <f t="shared" ref="B39:F41" si="4">B32*0.3/12</f>
        <v>3196</v>
      </c>
      <c r="C39" s="34">
        <f t="shared" si="4"/>
        <v>958.80000000000007</v>
      </c>
      <c r="D39" s="34">
        <f t="shared" si="4"/>
        <v>1598</v>
      </c>
      <c r="E39" s="34">
        <f t="shared" si="4"/>
        <v>2556.7999999999997</v>
      </c>
      <c r="F39" s="34">
        <f t="shared" si="4"/>
        <v>3835.2000000000003</v>
      </c>
      <c r="G39" s="12"/>
      <c r="H39" s="12" t="s">
        <v>216</v>
      </c>
      <c r="I39" s="12">
        <f>COUNTIFS('ADU Homeowner Survey 2025'!$AG:$AG,"2025",'ADU Homeowner Survey 2025'!$B:$B,"Alameda County", 'ADU Homeowner Survey 2025'!$Q:$Q, "1",'ADU Homeowner Survey 2025'!$R:$R, "Not planning to use for housing")</f>
        <v>2</v>
      </c>
      <c r="J39" s="12">
        <f>COUNTIFS('ADU Homeowner Survey 2025'!$AG:$AG,"2025",'ADU Homeowner Survey 2025'!$B:$B,"Alameda County", 'ADU Homeowner Survey 2025'!$Q:$Q, "1",'ADU Homeowner Survey 2025'!$R:$R, "Decline to state")</f>
        <v>2</v>
      </c>
      <c r="K39" s="12">
        <f>COUNTIFS('ADU Homeowner Survey 2025'!$AG:$AG,"2025",'ADU Homeowner Survey 2025'!$B:$B,"Alameda County", 'ADU Homeowner Survey 2025'!$Q:$Q, "1",'ADU Homeowner Survey 2025'!$R:$R, "Not planning to charge rent")</f>
        <v>14</v>
      </c>
      <c r="L39" s="12">
        <f>COUNTIFS('ADU Homeowner Survey 2025'!$AG:$AG,"2025",'ADU Homeowner Survey 2025'!$B:$B,"Alameda County", 'ADU Homeowner Survey 2025'!$Q:$Q, "1",'ADU Homeowner Survey 2025'!$R:$R, "$1 - $1,000")</f>
        <v>0</v>
      </c>
      <c r="M39" s="12">
        <f>COUNTIFS('ADU Homeowner Survey 2025'!$AG:$AG,"2025",'ADU Homeowner Survey 2025'!$B:$B,"Alameda County", 'ADU Homeowner Survey 2025'!$Q:$Q, "1",'ADU Homeowner Survey 2025'!$R:$R, "$1,001 - $1,500")</f>
        <v>2</v>
      </c>
      <c r="N39" s="12">
        <f>COUNTIFS('ADU Homeowner Survey 2025'!$AG:$AG,"2025",'ADU Homeowner Survey 2025'!$B:$B,"Alameda County", 'ADU Homeowner Survey 2025'!$Q:$Q, "1",'ADU Homeowner Survey 2025'!$R:$R, "$1,501 - $2,000")</f>
        <v>4</v>
      </c>
      <c r="O39" s="12">
        <f>COUNTIFS('ADU Homeowner Survey 2025'!$AG:$AG,"2025",'ADU Homeowner Survey 2025'!$B:$B,"Alameda County", 'ADU Homeowner Survey 2025'!$Q:$Q, "1",'ADU Homeowner Survey 2025'!$R:$R, "$2,001 - $2,500")</f>
        <v>1</v>
      </c>
      <c r="P39" s="12">
        <f>COUNTIFS('ADU Homeowner Survey 2025'!$AG:$AG,"2025",'ADU Homeowner Survey 2025'!$B:$B,"Alameda County", 'ADU Homeowner Survey 2025'!$Q:$Q, "1",'ADU Homeowner Survey 2025'!$R:$R, "$2,501 - $3,000")</f>
        <v>2</v>
      </c>
      <c r="Q39" s="12">
        <f>COUNTIFS('ADU Homeowner Survey 2025'!$AG:$AG,"2025",'ADU Homeowner Survey 2025'!$B:$B,"Alameda County", 'ADU Homeowner Survey 2025'!$Q:$Q, "1",'ADU Homeowner Survey 2025'!$R:$R, "$3,001 - $3,500")</f>
        <v>0</v>
      </c>
      <c r="R39" s="12">
        <f>COUNTIFS('ADU Homeowner Survey 2025'!$AG:$AG,"2025",'ADU Homeowner Survey 2025'!$B:$B,"Alameda County", 'ADU Homeowner Survey 2025'!$Q:$Q, "1",'ADU Homeowner Survey 2025'!$R:$R, "$3,501 - $4,000")</f>
        <v>0</v>
      </c>
      <c r="S39" s="12">
        <f>COUNTIFS('ADU Homeowner Survey 2025'!$AG:$AG,"2025",'ADU Homeowner Survey 2025'!$B:$B,"Alameda County", 'ADU Homeowner Survey 2025'!$Q:$Q, "1",'ADU Homeowner Survey 2025'!$R:$R, "$4,001 - $4,500")</f>
        <v>0</v>
      </c>
      <c r="T39" s="12">
        <f>COUNTIFS('ADU Homeowner Survey 2025'!$AG:$AG,"2025",'ADU Homeowner Survey 2025'!$B:$B,"Alameda County", 'ADU Homeowner Survey 2025'!$Q:$Q, "1",'ADU Homeowner Survey 2025'!$R:$R, "More than $4,500")</f>
        <v>0</v>
      </c>
      <c r="U39" s="24">
        <f t="shared" ref="U39:U42" si="5">SUM(I39:T39)</f>
        <v>27</v>
      </c>
    </row>
    <row r="40" spans="1:21" ht="15.5" x14ac:dyDescent="0.35">
      <c r="A40" s="16" t="s">
        <v>217</v>
      </c>
      <c r="B40" s="34">
        <f t="shared" si="4"/>
        <v>3595.5</v>
      </c>
      <c r="C40" s="34">
        <f t="shared" si="4"/>
        <v>1078.6499999999999</v>
      </c>
      <c r="D40" s="34">
        <f t="shared" si="4"/>
        <v>1797.75</v>
      </c>
      <c r="E40" s="34">
        <f t="shared" si="4"/>
        <v>2876.3999999999996</v>
      </c>
      <c r="F40" s="34">
        <f t="shared" si="4"/>
        <v>4314.5999999999995</v>
      </c>
      <c r="G40" s="12"/>
      <c r="H40" s="12" t="s">
        <v>217</v>
      </c>
      <c r="I40" s="12">
        <f>COUNTIFS('ADU Homeowner Survey 2025'!$AG:$AG,"2025",'ADU Homeowner Survey 2025'!$B:$B,"Alameda County", 'ADU Homeowner Survey 2025'!$Q:$Q, "2",'ADU Homeowner Survey 2025'!$R:$R, "Not planning to use for housing")</f>
        <v>0</v>
      </c>
      <c r="J40" s="12">
        <f>COUNTIFS('ADU Homeowner Survey 2025'!$AG:$AG,"2025",'ADU Homeowner Survey 2025'!$B:$B,"Alameda County", 'ADU Homeowner Survey 2025'!$Q:$Q, "2",'ADU Homeowner Survey 2025'!$R:$R, "Decline to state")</f>
        <v>1</v>
      </c>
      <c r="K40" s="12">
        <f>COUNTIFS('ADU Homeowner Survey 2025'!$AG:$AG,"2025",'ADU Homeowner Survey 2025'!$B:$B,"Alameda County", 'ADU Homeowner Survey 2025'!$Q:$Q, "2",'ADU Homeowner Survey 2025'!$R:$R, "Not planning to charge rent")</f>
        <v>4</v>
      </c>
      <c r="L40" s="12">
        <f>COUNTIFS('ADU Homeowner Survey 2025'!$AG:$AG,"2025",'ADU Homeowner Survey 2025'!$B:$B,"Alameda County", 'ADU Homeowner Survey 2025'!$Q:$Q, "2",'ADU Homeowner Survey 2025'!$R:$R, "$1 - $1,000")</f>
        <v>0</v>
      </c>
      <c r="M40" s="12">
        <f>COUNTIFS('ADU Homeowner Survey 2025'!$AG:$AG,"2025",'ADU Homeowner Survey 2025'!$B:$B,"Alameda County", 'ADU Homeowner Survey 2025'!$Q:$Q, "2",'ADU Homeowner Survey 2025'!$R:$R, "$1,001 - $1,500")</f>
        <v>0</v>
      </c>
      <c r="N40" s="12">
        <f>COUNTIFS('ADU Homeowner Survey 2025'!$AG:$AG,"2025",'ADU Homeowner Survey 2025'!$B:$B,"Alameda County", 'ADU Homeowner Survey 2025'!$Q:$Q, "2",'ADU Homeowner Survey 2025'!$R:$R, "$1,501 - $2,000")</f>
        <v>1</v>
      </c>
      <c r="O40" s="12">
        <f>COUNTIFS('ADU Homeowner Survey 2025'!$AG:$AG,"2025",'ADU Homeowner Survey 2025'!$B:$B,"Alameda County", 'ADU Homeowner Survey 2025'!$Q:$Q, "2",'ADU Homeowner Survey 2025'!$R:$R, "$2,001 - $2,500")</f>
        <v>2</v>
      </c>
      <c r="P40" s="12">
        <f>COUNTIFS('ADU Homeowner Survey 2025'!$AG:$AG,"2025",'ADU Homeowner Survey 2025'!$B:$B,"Alameda County", 'ADU Homeowner Survey 2025'!$Q:$Q, "2",'ADU Homeowner Survey 2025'!$R:$R, "$2,501 - $3,000")</f>
        <v>2</v>
      </c>
      <c r="Q40" s="12">
        <f>COUNTIFS('ADU Homeowner Survey 2025'!$AG:$AG,"2025",'ADU Homeowner Survey 2025'!$B:$B,"Alameda County", 'ADU Homeowner Survey 2025'!$Q:$Q, "2",'ADU Homeowner Survey 2025'!$R:$R, "$3,001 - $3,500")</f>
        <v>2</v>
      </c>
      <c r="R40" s="12">
        <f>COUNTIFS('ADU Homeowner Survey 2025'!$AG:$AG,"2025",'ADU Homeowner Survey 2025'!$B:$B,"Alameda County", 'ADU Homeowner Survey 2025'!$Q:$Q, "2",'ADU Homeowner Survey 2025'!$R:$R, "$3,501 - $4,000")</f>
        <v>1</v>
      </c>
      <c r="S40" s="12">
        <f>COUNTIFS('ADU Homeowner Survey 2025'!$AG:$AG,"2025",'ADU Homeowner Survey 2025'!$B:$B,"Alameda County", 'ADU Homeowner Survey 2025'!$Q:$Q, "2",'ADU Homeowner Survey 2025'!$R:$R, "$4,001 - $4,500")</f>
        <v>0</v>
      </c>
      <c r="T40" s="12">
        <f>COUNTIFS('ADU Homeowner Survey 2025'!$AG:$AG,"2025",'ADU Homeowner Survey 2025'!$B:$B,"Alameda County", 'ADU Homeowner Survey 2025'!$Q:$Q, "2",'ADU Homeowner Survey 2025'!$R:$R, "More than $4,500")</f>
        <v>0</v>
      </c>
      <c r="U40" s="24">
        <f t="shared" si="5"/>
        <v>13</v>
      </c>
    </row>
    <row r="41" spans="1:21" ht="15.5" x14ac:dyDescent="0.35">
      <c r="A41" s="16" t="s">
        <v>218</v>
      </c>
      <c r="B41" s="34">
        <f t="shared" si="4"/>
        <v>3995</v>
      </c>
      <c r="C41" s="34">
        <f t="shared" si="4"/>
        <v>1198.5</v>
      </c>
      <c r="D41" s="34">
        <f t="shared" si="4"/>
        <v>1997.5</v>
      </c>
      <c r="E41" s="34">
        <f t="shared" si="4"/>
        <v>3196</v>
      </c>
      <c r="F41" s="34">
        <f t="shared" si="4"/>
        <v>4794</v>
      </c>
      <c r="G41" s="12"/>
      <c r="H41" s="12" t="s">
        <v>221</v>
      </c>
      <c r="I41" s="12">
        <f>COUNTIFS('ADU Homeowner Survey 2025'!$AG:$AG,"2025",'ADU Homeowner Survey 2025'!$B:$B,"Alameda County", 'ADU Homeowner Survey 2025'!$Q:$Q, "3 or more",'ADU Homeowner Survey 2025'!$R:$R, "Not planning to use for housing")</f>
        <v>0</v>
      </c>
      <c r="J41" s="12">
        <f>COUNTIFS('ADU Homeowner Survey 2025'!$AG:$AG,"2025",'ADU Homeowner Survey 2025'!$B:$B,"Alameda County", 'ADU Homeowner Survey 2025'!$Q:$Q, "3 or more",'ADU Homeowner Survey 2025'!$R:$R, "Decline to state")</f>
        <v>0</v>
      </c>
      <c r="K41" s="12">
        <f>COUNTIFS('ADU Homeowner Survey 2025'!$AG:$AG,"2025",'ADU Homeowner Survey 2025'!$B:$B,"Alameda County", 'ADU Homeowner Survey 2025'!$Q:$Q, "3 or more",'ADU Homeowner Survey 2025'!$R:$R, "Not planning to charge rent")</f>
        <v>0</v>
      </c>
      <c r="L41" s="12">
        <f>COUNTIFS('ADU Homeowner Survey 2025'!$AG:$AG,"2025",'ADU Homeowner Survey 2025'!$B:$B,"Alameda County", 'ADU Homeowner Survey 2025'!$Q:$Q, "3 or more",'ADU Homeowner Survey 2025'!$R:$R, "$1 - $1,000")</f>
        <v>0</v>
      </c>
      <c r="M41" s="12">
        <f>COUNTIFS('ADU Homeowner Survey 2025'!$AG:$AG,"2025",'ADU Homeowner Survey 2025'!$B:$B,"Alameda County", 'ADU Homeowner Survey 2025'!$Q:$Q, "3 or more",'ADU Homeowner Survey 2025'!$R:$R, "$1,001 - $1,500")</f>
        <v>0</v>
      </c>
      <c r="N41" s="12">
        <f>COUNTIFS('ADU Homeowner Survey 2025'!$AG:$AG,"2025",'ADU Homeowner Survey 2025'!$B:$B,"Alameda County", 'ADU Homeowner Survey 2025'!$Q:$Q, "3 or more",'ADU Homeowner Survey 2025'!$R:$R, "$1,501 - $2,000")</f>
        <v>0</v>
      </c>
      <c r="O41" s="12">
        <f>COUNTIFS('ADU Homeowner Survey 2025'!$AG:$AG,"2025",'ADU Homeowner Survey 2025'!$B:$B,"Alameda County", 'ADU Homeowner Survey 2025'!$Q:$Q, "3 or more",'ADU Homeowner Survey 2025'!$R:$R, "$2,001 - $2,500")</f>
        <v>0</v>
      </c>
      <c r="P41" s="12">
        <f>COUNTIFS('ADU Homeowner Survey 2025'!$AG:$AG,"2025",'ADU Homeowner Survey 2025'!$B:$B,"Alameda County", 'ADU Homeowner Survey 2025'!$Q:$Q, "3 or more",'ADU Homeowner Survey 2025'!$R:$R, "$2,501 - $3,000")</f>
        <v>0</v>
      </c>
      <c r="Q41" s="12">
        <f>COUNTIFS('ADU Homeowner Survey 2025'!$AG:$AG,"2025",'ADU Homeowner Survey 2025'!$B:$B,"Alameda County", 'ADU Homeowner Survey 2025'!$Q:$Q, "3 or more",'ADU Homeowner Survey 2025'!$R:$R, "$3,001 - $3,500")</f>
        <v>0</v>
      </c>
      <c r="R41" s="12">
        <f>COUNTIFS('ADU Homeowner Survey 2025'!$AG:$AG,"2025",'ADU Homeowner Survey 2025'!$B:$B,"Alameda County", 'ADU Homeowner Survey 2025'!$Q:$Q, "3 or more",'ADU Homeowner Survey 2025'!$R:$R, "$3,501 - $4,000")</f>
        <v>0</v>
      </c>
      <c r="S41" s="12">
        <f>COUNTIFS('ADU Homeowner Survey 2025'!$AG:$AG,"2025",'ADU Homeowner Survey 2025'!$B:$B,"Alameda County", 'ADU Homeowner Survey 2025'!$Q:$Q, "3 or more",'ADU Homeowner Survey 2025'!$R:$R, "$4,001 - $4,500")</f>
        <v>0</v>
      </c>
      <c r="T41" s="12">
        <f>COUNTIFS('ADU Homeowner Survey 2025'!$AG:$AG,"2025",'ADU Homeowner Survey 2025'!$B:$B,"Alameda County", 'ADU Homeowner Survey 2025'!$Q:$Q, "3 or more",'ADU Homeowner Survey 2025'!$R:$R, "More than $4,500")</f>
        <v>0</v>
      </c>
      <c r="U41" s="24">
        <f t="shared" si="5"/>
        <v>0</v>
      </c>
    </row>
    <row r="42" spans="1:21" ht="15.5" x14ac:dyDescent="0.35">
      <c r="A42" s="16"/>
      <c r="B42" s="29"/>
      <c r="C42" s="29"/>
      <c r="D42" s="29"/>
      <c r="E42" s="29"/>
      <c r="F42" s="29"/>
      <c r="G42" s="12"/>
      <c r="H42" s="12" t="s">
        <v>222</v>
      </c>
      <c r="I42" s="12">
        <f>SUM(I38:I41)</f>
        <v>6</v>
      </c>
      <c r="J42" s="12">
        <f>SUM(J38:J41)</f>
        <v>6</v>
      </c>
      <c r="K42" s="12">
        <f t="shared" ref="K42:T42" si="6">SUM(K38:K41)</f>
        <v>21</v>
      </c>
      <c r="L42" s="12">
        <f t="shared" si="6"/>
        <v>2</v>
      </c>
      <c r="M42" s="12">
        <f t="shared" si="6"/>
        <v>2</v>
      </c>
      <c r="N42" s="12">
        <f t="shared" si="6"/>
        <v>5</v>
      </c>
      <c r="O42" s="12">
        <f t="shared" si="6"/>
        <v>3</v>
      </c>
      <c r="P42" s="12">
        <f t="shared" si="6"/>
        <v>4</v>
      </c>
      <c r="Q42" s="12">
        <f t="shared" si="6"/>
        <v>2</v>
      </c>
      <c r="R42" s="12">
        <f t="shared" si="6"/>
        <v>1</v>
      </c>
      <c r="S42" s="12">
        <f t="shared" si="6"/>
        <v>0</v>
      </c>
      <c r="T42" s="12">
        <f t="shared" si="6"/>
        <v>0</v>
      </c>
      <c r="U42" s="24">
        <f t="shared" si="5"/>
        <v>52</v>
      </c>
    </row>
    <row r="43" spans="1:21" ht="15.5" x14ac:dyDescent="0.35">
      <c r="A43" s="16"/>
      <c r="B43" s="29"/>
      <c r="C43" s="29"/>
      <c r="D43" s="29"/>
      <c r="E43" s="29"/>
      <c r="F43" s="29"/>
      <c r="G43" s="12"/>
      <c r="H43" s="12"/>
      <c r="I43" s="12"/>
      <c r="J43" s="12"/>
      <c r="K43" s="12"/>
      <c r="L43" s="12"/>
      <c r="M43" s="12"/>
      <c r="N43" s="12"/>
      <c r="O43" s="12"/>
      <c r="P43" s="12"/>
      <c r="Q43" s="12"/>
      <c r="R43" s="12"/>
      <c r="S43" s="12"/>
      <c r="T43" s="12"/>
      <c r="U43" s="24"/>
    </row>
    <row r="44" spans="1:21" ht="15.75" customHeight="1" x14ac:dyDescent="0.35">
      <c r="A44" s="16"/>
      <c r="B44" s="12"/>
      <c r="C44" s="12"/>
      <c r="D44" s="12"/>
      <c r="E44" s="12"/>
      <c r="F44" s="12"/>
      <c r="G44" s="12"/>
      <c r="H44" s="50" t="s">
        <v>219</v>
      </c>
      <c r="I44" s="47"/>
      <c r="J44" s="47"/>
      <c r="K44" s="47"/>
      <c r="L44" s="47"/>
      <c r="M44" s="47"/>
      <c r="N44" s="47"/>
      <c r="O44" s="47"/>
      <c r="P44" s="47"/>
      <c r="Q44" s="47"/>
      <c r="R44" s="12"/>
      <c r="S44" s="12"/>
      <c r="T44" s="12"/>
      <c r="U44" s="24"/>
    </row>
    <row r="45" spans="1:21" ht="15.5" x14ac:dyDescent="0.35">
      <c r="A45" s="25" t="s">
        <v>220</v>
      </c>
      <c r="B45" s="12"/>
      <c r="C45" s="12"/>
      <c r="D45" s="12"/>
      <c r="E45" s="12"/>
      <c r="F45" s="12"/>
      <c r="G45" s="12"/>
      <c r="H45" s="47"/>
      <c r="I45" s="47"/>
      <c r="J45" s="47"/>
      <c r="K45" s="47"/>
      <c r="L45" s="47"/>
      <c r="M45" s="47"/>
      <c r="N45" s="47"/>
      <c r="O45" s="47"/>
      <c r="P45" s="47"/>
      <c r="Q45" s="47"/>
      <c r="R45" s="12"/>
      <c r="S45" s="12"/>
      <c r="T45" s="12"/>
      <c r="U45" s="24"/>
    </row>
    <row r="46" spans="1:21" ht="15.5" x14ac:dyDescent="0.35">
      <c r="A46" s="16"/>
      <c r="B46" s="32" t="s">
        <v>215</v>
      </c>
      <c r="C46" s="32" t="s">
        <v>208</v>
      </c>
      <c r="D46" s="32" t="s">
        <v>209</v>
      </c>
      <c r="E46" s="32" t="s">
        <v>210</v>
      </c>
      <c r="F46" s="32" t="s">
        <v>211</v>
      </c>
      <c r="G46" s="12"/>
      <c r="H46" s="12"/>
      <c r="I46" s="12"/>
      <c r="J46" s="12" t="s">
        <v>165</v>
      </c>
      <c r="K46" s="12" t="s">
        <v>208</v>
      </c>
      <c r="L46" s="12" t="s">
        <v>223</v>
      </c>
      <c r="M46" s="12" t="s">
        <v>210</v>
      </c>
      <c r="N46" s="12" t="s">
        <v>211</v>
      </c>
      <c r="O46" s="12" t="s">
        <v>224</v>
      </c>
      <c r="Q46" s="12"/>
      <c r="R46" s="12"/>
      <c r="S46" s="12"/>
      <c r="T46" s="12"/>
      <c r="U46" s="24"/>
    </row>
    <row r="47" spans="1:21" ht="15.75" customHeight="1" x14ac:dyDescent="0.35">
      <c r="A47" s="16" t="s">
        <v>42</v>
      </c>
      <c r="B47" s="29" t="s">
        <v>71</v>
      </c>
      <c r="C47" s="29" t="s">
        <v>67</v>
      </c>
      <c r="D47" s="29" t="s">
        <v>68</v>
      </c>
      <c r="E47" s="29" t="s">
        <v>70</v>
      </c>
      <c r="F47" s="29" t="s">
        <v>72</v>
      </c>
      <c r="G47" s="12"/>
      <c r="H47" s="12" t="s">
        <v>42</v>
      </c>
      <c r="I47" s="12">
        <f t="shared" ref="I47:J50" si="7">I38</f>
        <v>4</v>
      </c>
      <c r="J47" s="35">
        <f t="shared" si="7"/>
        <v>3</v>
      </c>
      <c r="K47" s="35">
        <f>K38+L38*L17</f>
        <v>4.6779000000000002</v>
      </c>
      <c r="L47" s="35">
        <f>(L38*L18)+(M38*L19)</f>
        <v>0.32210000000000005</v>
      </c>
      <c r="M47" s="35">
        <f>(M38*L20)+N38+(L23*O38)</f>
        <v>0</v>
      </c>
      <c r="N47" s="35">
        <f>O38*L24+P38+Q38*L27</f>
        <v>0</v>
      </c>
      <c r="O47" s="35">
        <f>Q38*L28+R38+S38</f>
        <v>0</v>
      </c>
      <c r="P47" s="35">
        <f>SUM(I47:O47)</f>
        <v>12.000000000000002</v>
      </c>
      <c r="Q47" s="12"/>
      <c r="R47" s="12"/>
      <c r="S47" s="12"/>
      <c r="T47" s="12"/>
      <c r="U47" s="24"/>
    </row>
    <row r="48" spans="1:21" ht="15.5" x14ac:dyDescent="0.35">
      <c r="A48" s="16" t="s">
        <v>216</v>
      </c>
      <c r="B48" s="29" t="s">
        <v>72</v>
      </c>
      <c r="C48" s="29" t="s">
        <v>67</v>
      </c>
      <c r="D48" s="29" t="s">
        <v>69</v>
      </c>
      <c r="E48" s="29" t="s">
        <v>71</v>
      </c>
      <c r="F48" s="29" t="s">
        <v>73</v>
      </c>
      <c r="G48" s="12"/>
      <c r="H48" s="12" t="s">
        <v>216</v>
      </c>
      <c r="I48" s="12">
        <f t="shared" si="7"/>
        <v>2</v>
      </c>
      <c r="J48" s="35">
        <f t="shared" si="7"/>
        <v>2</v>
      </c>
      <c r="K48" s="35">
        <f>K39+L39*N17</f>
        <v>14</v>
      </c>
      <c r="L48" s="35">
        <f>L39*N18+M39+N21*N39</f>
        <v>2.785571142284569</v>
      </c>
      <c r="M48" s="7">
        <f>N22*N39+O39+P39*N25</f>
        <v>4.4428857715430858</v>
      </c>
      <c r="N48" s="35">
        <f>P39*N26+Q39+R39*N29</f>
        <v>1.7715430861723447</v>
      </c>
      <c r="O48" s="35">
        <f>R39*N30+S39</f>
        <v>0</v>
      </c>
      <c r="P48" s="35">
        <f t="shared" ref="P48:P51" si="8">SUM(I48:O48)</f>
        <v>26.999999999999996</v>
      </c>
      <c r="Q48" s="12"/>
      <c r="R48" s="12"/>
      <c r="S48" s="12"/>
      <c r="T48" s="12"/>
      <c r="U48" s="24"/>
    </row>
    <row r="49" spans="1:21" ht="15.5" x14ac:dyDescent="0.35">
      <c r="A49" s="16" t="s">
        <v>217</v>
      </c>
      <c r="B49" s="29" t="s">
        <v>73</v>
      </c>
      <c r="C49" s="29" t="s">
        <v>68</v>
      </c>
      <c r="D49" s="29" t="s">
        <v>69</v>
      </c>
      <c r="E49" s="29" t="s">
        <v>71</v>
      </c>
      <c r="F49" s="29" t="s">
        <v>74</v>
      </c>
      <c r="G49" s="12"/>
      <c r="H49" s="12" t="s">
        <v>217</v>
      </c>
      <c r="I49" s="12">
        <f t="shared" si="7"/>
        <v>0</v>
      </c>
      <c r="J49" s="35">
        <f t="shared" si="7"/>
        <v>1</v>
      </c>
      <c r="K49" s="35">
        <f>K40+L40+M40*P19</f>
        <v>4</v>
      </c>
      <c r="L49" s="35">
        <f>M40*P20+N40*P21</f>
        <v>0.59719438877755515</v>
      </c>
      <c r="M49" s="35">
        <f>N40*P22+O40+P40*P25</f>
        <v>3.9098196392785569</v>
      </c>
      <c r="N49" s="35">
        <f>P40*P26+Q40+R40</f>
        <v>3.492985971943888</v>
      </c>
      <c r="O49" s="35">
        <f>S40*P32</f>
        <v>0</v>
      </c>
      <c r="P49" s="35">
        <f t="shared" si="8"/>
        <v>13</v>
      </c>
      <c r="Q49" s="12"/>
      <c r="R49" s="12"/>
      <c r="S49" s="12"/>
      <c r="T49" s="12"/>
      <c r="U49" s="24"/>
    </row>
    <row r="50" spans="1:21" ht="15.5" x14ac:dyDescent="0.35">
      <c r="A50" s="16" t="s">
        <v>218</v>
      </c>
      <c r="B50" s="29" t="s">
        <v>73</v>
      </c>
      <c r="C50" s="29" t="s">
        <v>68</v>
      </c>
      <c r="D50" s="29" t="s">
        <v>69</v>
      </c>
      <c r="E50" s="29" t="s">
        <v>72</v>
      </c>
      <c r="F50" s="29" t="s">
        <v>75</v>
      </c>
      <c r="G50" s="12"/>
      <c r="H50" s="12" t="s">
        <v>221</v>
      </c>
      <c r="I50" s="12">
        <f t="shared" si="7"/>
        <v>0</v>
      </c>
      <c r="J50" s="35">
        <f t="shared" si="7"/>
        <v>0</v>
      </c>
      <c r="K50" s="35">
        <f>L41+M41*R19</f>
        <v>0</v>
      </c>
      <c r="L50" s="35">
        <f>M41*R20+N41</f>
        <v>0</v>
      </c>
      <c r="M50" s="35">
        <f>O41</f>
        <v>0</v>
      </c>
      <c r="N50" s="35">
        <v>0</v>
      </c>
      <c r="O50" s="35">
        <v>0</v>
      </c>
      <c r="P50" s="35">
        <f t="shared" si="8"/>
        <v>0</v>
      </c>
      <c r="Q50" s="12"/>
      <c r="R50" s="12"/>
      <c r="S50" s="12"/>
      <c r="T50" s="12"/>
      <c r="U50" s="24"/>
    </row>
    <row r="51" spans="1:21" ht="15.5" x14ac:dyDescent="0.35">
      <c r="A51" s="16"/>
      <c r="B51" s="12"/>
      <c r="C51" s="12"/>
      <c r="D51" s="12"/>
      <c r="E51" s="12"/>
      <c r="F51" s="12"/>
      <c r="G51" s="12"/>
      <c r="H51" s="12" t="s">
        <v>222</v>
      </c>
      <c r="I51" s="12">
        <f>I42</f>
        <v>6</v>
      </c>
      <c r="J51" s="35">
        <f>SUM(J47:J50)</f>
        <v>6</v>
      </c>
      <c r="K51" s="35">
        <f t="shared" ref="K51:O51" si="9">SUM(K47:K50)</f>
        <v>22.677900000000001</v>
      </c>
      <c r="L51" s="35">
        <f t="shared" si="9"/>
        <v>3.7048655310621239</v>
      </c>
      <c r="M51" s="35">
        <f t="shared" si="9"/>
        <v>8.3527054108216419</v>
      </c>
      <c r="N51" s="35">
        <f t="shared" si="9"/>
        <v>5.2645290581162332</v>
      </c>
      <c r="O51" s="35">
        <f t="shared" si="9"/>
        <v>0</v>
      </c>
      <c r="P51" s="35">
        <f t="shared" si="8"/>
        <v>52</v>
      </c>
      <c r="Q51" s="12"/>
      <c r="R51" s="12"/>
      <c r="S51" s="12"/>
      <c r="T51" s="12"/>
      <c r="U51" s="24"/>
    </row>
    <row r="52" spans="1:21" ht="16" thickBot="1" x14ac:dyDescent="0.4">
      <c r="A52" s="18"/>
      <c r="B52" s="26"/>
      <c r="C52" s="26"/>
      <c r="D52" s="26"/>
      <c r="E52" s="26"/>
      <c r="F52" s="26"/>
      <c r="G52" s="26"/>
      <c r="H52" s="26"/>
      <c r="I52" s="26"/>
      <c r="J52" s="26"/>
      <c r="K52" s="26"/>
      <c r="L52" s="26"/>
      <c r="M52" s="26"/>
      <c r="N52" s="26"/>
      <c r="O52" s="26"/>
      <c r="P52" s="26"/>
      <c r="Q52" s="26"/>
      <c r="R52" s="26"/>
      <c r="S52" s="26"/>
      <c r="T52" s="26"/>
      <c r="U52" s="27"/>
    </row>
    <row r="53" spans="1:21" ht="15" thickBot="1" x14ac:dyDescent="0.4"/>
    <row r="54" spans="1:21" ht="15.5" x14ac:dyDescent="0.35">
      <c r="A54" s="14" t="s">
        <v>146</v>
      </c>
      <c r="B54" s="20"/>
      <c r="C54" s="20"/>
      <c r="D54" s="20"/>
      <c r="E54" s="20"/>
      <c r="F54" s="20"/>
      <c r="G54" s="20"/>
      <c r="H54" s="20"/>
      <c r="I54" s="20"/>
      <c r="J54" s="20"/>
      <c r="K54" s="20"/>
      <c r="L54" s="20"/>
      <c r="M54" s="20"/>
      <c r="N54" s="20"/>
      <c r="O54" s="20"/>
      <c r="P54" s="20"/>
      <c r="Q54" s="20"/>
      <c r="R54" s="20"/>
      <c r="S54" s="20"/>
      <c r="T54" s="20"/>
      <c r="U54" s="21"/>
    </row>
    <row r="55" spans="1:21" ht="15.5" x14ac:dyDescent="0.35">
      <c r="A55" s="16"/>
      <c r="B55" s="12"/>
      <c r="C55" s="12"/>
      <c r="D55" s="12"/>
      <c r="E55" s="12"/>
      <c r="F55" s="12"/>
      <c r="G55" s="12"/>
      <c r="H55" s="12"/>
      <c r="I55" s="12"/>
      <c r="K55" s="5" t="s">
        <v>42</v>
      </c>
      <c r="L55" s="5" t="s">
        <v>42</v>
      </c>
      <c r="M55" s="5" t="s">
        <v>203</v>
      </c>
      <c r="N55" s="5" t="s">
        <v>203</v>
      </c>
      <c r="O55" s="5" t="s">
        <v>204</v>
      </c>
      <c r="P55" s="5" t="s">
        <v>204</v>
      </c>
      <c r="Q55" s="5" t="s">
        <v>205</v>
      </c>
      <c r="R55" s="5" t="s">
        <v>205</v>
      </c>
      <c r="S55" s="12"/>
      <c r="T55" s="12"/>
      <c r="U55" s="24"/>
    </row>
    <row r="56" spans="1:21" ht="15.5" x14ac:dyDescent="0.35">
      <c r="A56" s="16"/>
      <c r="B56" s="12"/>
      <c r="C56" s="12"/>
      <c r="D56" s="12"/>
      <c r="E56" s="12"/>
      <c r="F56" s="12"/>
      <c r="G56" s="12"/>
      <c r="H56" s="12"/>
      <c r="I56" s="12"/>
      <c r="J56" s="37"/>
      <c r="K56" s="37" t="s">
        <v>206</v>
      </c>
      <c r="L56" s="37" t="s">
        <v>207</v>
      </c>
      <c r="M56" s="37" t="s">
        <v>206</v>
      </c>
      <c r="N56" s="37" t="s">
        <v>207</v>
      </c>
      <c r="O56" s="37" t="s">
        <v>206</v>
      </c>
      <c r="P56" s="37" t="s">
        <v>207</v>
      </c>
      <c r="Q56" s="37" t="s">
        <v>206</v>
      </c>
      <c r="R56" s="37" t="s">
        <v>207</v>
      </c>
      <c r="S56" s="12"/>
      <c r="T56" s="12"/>
      <c r="U56" s="24"/>
    </row>
    <row r="57" spans="1:21" ht="15.5" x14ac:dyDescent="0.35">
      <c r="A57" s="16"/>
      <c r="B57" s="12"/>
      <c r="C57" s="12"/>
      <c r="D57" s="12"/>
      <c r="E57" s="12"/>
      <c r="F57" s="12"/>
      <c r="G57" s="12"/>
      <c r="H57" s="12"/>
      <c r="I57" s="12"/>
      <c r="J57" s="29" t="s">
        <v>67</v>
      </c>
      <c r="K57" s="12" t="s">
        <v>208</v>
      </c>
      <c r="L57" s="36">
        <f>C78/1000</f>
        <v>0.83894999999999997</v>
      </c>
      <c r="M57" s="12" t="s">
        <v>208</v>
      </c>
      <c r="N57" s="38">
        <f>C79/1000</f>
        <v>0.9588000000000001</v>
      </c>
      <c r="O57" s="36" t="s">
        <v>208</v>
      </c>
      <c r="P57" s="35">
        <v>1</v>
      </c>
      <c r="Q57" s="12" t="s">
        <v>208</v>
      </c>
      <c r="R57" s="35">
        <v>1</v>
      </c>
      <c r="S57" s="12"/>
      <c r="T57" s="12"/>
      <c r="U57" s="24"/>
    </row>
    <row r="58" spans="1:21" ht="15.5" x14ac:dyDescent="0.35">
      <c r="A58" s="16"/>
      <c r="B58" s="12"/>
      <c r="C58" s="12"/>
      <c r="D58" s="12"/>
      <c r="E58" s="12"/>
      <c r="F58" s="12"/>
      <c r="G58" s="12"/>
      <c r="H58" s="12"/>
      <c r="I58" s="12"/>
      <c r="J58" s="29" t="s">
        <v>67</v>
      </c>
      <c r="K58" s="12" t="s">
        <v>209</v>
      </c>
      <c r="L58" s="35">
        <f>1-L57</f>
        <v>0.16105000000000003</v>
      </c>
      <c r="M58" s="12" t="s">
        <v>209</v>
      </c>
      <c r="N58" s="38">
        <f>1-N57</f>
        <v>4.1199999999999903E-2</v>
      </c>
      <c r="O58" s="35" t="s">
        <v>208</v>
      </c>
      <c r="P58" s="35">
        <v>1</v>
      </c>
      <c r="Q58" s="12" t="s">
        <v>208</v>
      </c>
      <c r="R58" s="35">
        <v>1</v>
      </c>
      <c r="S58" s="12"/>
      <c r="T58" s="12"/>
      <c r="U58" s="24"/>
    </row>
    <row r="59" spans="1:21" ht="15.5" x14ac:dyDescent="0.35">
      <c r="A59" s="16"/>
      <c r="B59" s="12"/>
      <c r="C59" s="12"/>
      <c r="D59" s="12"/>
      <c r="E59" s="12"/>
      <c r="G59" s="12"/>
      <c r="H59" s="12"/>
      <c r="I59" s="12"/>
      <c r="J59" s="29" t="s">
        <v>68</v>
      </c>
      <c r="K59" s="12" t="s">
        <v>209</v>
      </c>
      <c r="L59" s="35">
        <f>398/499</f>
        <v>0.79759519038076154</v>
      </c>
      <c r="M59" s="38" t="s">
        <v>209</v>
      </c>
      <c r="N59" s="35">
        <v>1</v>
      </c>
      <c r="O59" s="35" t="s">
        <v>208</v>
      </c>
      <c r="P59" s="35">
        <f>79/499</f>
        <v>0.15831663326653306</v>
      </c>
      <c r="Q59" s="12" t="s">
        <v>208</v>
      </c>
      <c r="R59" s="35">
        <f>199/499</f>
        <v>0.39879759519038077</v>
      </c>
      <c r="S59" s="12"/>
      <c r="T59" s="12"/>
      <c r="U59" s="24"/>
    </row>
    <row r="60" spans="1:21" ht="15.5" x14ac:dyDescent="0.35">
      <c r="A60" s="16"/>
      <c r="B60" s="12"/>
      <c r="C60" s="12"/>
      <c r="D60" s="12"/>
      <c r="E60" s="12"/>
      <c r="F60" s="12"/>
      <c r="G60" s="12"/>
      <c r="H60" s="12"/>
      <c r="I60" s="12"/>
      <c r="J60" s="29" t="s">
        <v>68</v>
      </c>
      <c r="K60" s="12" t="s">
        <v>210</v>
      </c>
      <c r="L60" s="35">
        <f>1-L59</f>
        <v>0.20240480961923846</v>
      </c>
      <c r="M60" s="38" t="s">
        <v>209</v>
      </c>
      <c r="N60" s="35">
        <v>1</v>
      </c>
      <c r="O60" s="35" t="s">
        <v>209</v>
      </c>
      <c r="P60" s="35">
        <f>1-P59</f>
        <v>0.84168336673346689</v>
      </c>
      <c r="Q60" s="12" t="s">
        <v>209</v>
      </c>
      <c r="R60" s="35">
        <f>1-R59</f>
        <v>0.60120240480961917</v>
      </c>
      <c r="S60" s="12"/>
      <c r="T60" s="12"/>
      <c r="U60" s="24"/>
    </row>
    <row r="61" spans="1:21" ht="15.5" x14ac:dyDescent="0.35">
      <c r="A61" s="16"/>
      <c r="B61" s="12"/>
      <c r="C61" s="12"/>
      <c r="D61" s="12"/>
      <c r="E61" s="12"/>
      <c r="F61" s="12"/>
      <c r="G61" s="12"/>
      <c r="H61" s="12"/>
      <c r="I61" s="12"/>
      <c r="J61" s="29" t="s">
        <v>69</v>
      </c>
      <c r="K61" s="12" t="s">
        <v>210</v>
      </c>
      <c r="L61" s="35">
        <v>1</v>
      </c>
      <c r="M61" s="38" t="s">
        <v>209</v>
      </c>
      <c r="N61" s="36">
        <f>98/499</f>
        <v>0.19639278557114229</v>
      </c>
      <c r="O61" s="12" t="s">
        <v>209</v>
      </c>
      <c r="P61" s="35">
        <f>298/499</f>
        <v>0.59719438877755515</v>
      </c>
      <c r="Q61" s="12" t="s">
        <v>209</v>
      </c>
      <c r="R61" s="35">
        <f>498/499</f>
        <v>0.99799599198396793</v>
      </c>
      <c r="S61" s="12"/>
      <c r="T61" s="12"/>
      <c r="U61" s="24"/>
    </row>
    <row r="62" spans="1:21" ht="15.5" x14ac:dyDescent="0.35">
      <c r="A62" s="16"/>
      <c r="B62" s="12"/>
      <c r="C62" s="12"/>
      <c r="D62" s="12"/>
      <c r="E62" s="12"/>
      <c r="F62" s="12"/>
      <c r="G62" s="12"/>
      <c r="H62" s="12"/>
      <c r="I62" s="12"/>
      <c r="J62" s="29" t="s">
        <v>69</v>
      </c>
      <c r="K62" s="12" t="s">
        <v>210</v>
      </c>
      <c r="L62" s="35">
        <v>1</v>
      </c>
      <c r="M62" s="38" t="s">
        <v>210</v>
      </c>
      <c r="N62" s="35">
        <f>1-N61</f>
        <v>0.80360721442885774</v>
      </c>
      <c r="O62" s="12" t="s">
        <v>210</v>
      </c>
      <c r="P62" s="35">
        <f>1-P61</f>
        <v>0.40280561122244485</v>
      </c>
      <c r="Q62" s="12" t="s">
        <v>210</v>
      </c>
      <c r="R62" s="35">
        <f>1-R61</f>
        <v>2.0040080160320661E-3</v>
      </c>
      <c r="S62" s="12"/>
      <c r="T62" s="12"/>
      <c r="U62" s="24"/>
    </row>
    <row r="63" spans="1:21" ht="15.5" x14ac:dyDescent="0.35">
      <c r="A63" s="16"/>
      <c r="B63" s="12"/>
      <c r="C63" s="12"/>
      <c r="D63" s="12"/>
      <c r="E63" s="12"/>
      <c r="F63" s="12"/>
      <c r="G63" s="12"/>
      <c r="H63" s="12"/>
      <c r="I63" s="12"/>
      <c r="J63" s="29" t="s">
        <v>70</v>
      </c>
      <c r="K63" s="12" t="s">
        <v>210</v>
      </c>
      <c r="L63" s="36">
        <f>237/499</f>
        <v>0.47494989979959917</v>
      </c>
      <c r="M63" s="38" t="s">
        <v>210</v>
      </c>
      <c r="N63" s="35">
        <v>1</v>
      </c>
      <c r="O63" s="36" t="s">
        <v>210</v>
      </c>
      <c r="P63" s="35">
        <v>1</v>
      </c>
      <c r="Q63" s="12" t="s">
        <v>210</v>
      </c>
      <c r="R63" s="35">
        <v>1</v>
      </c>
      <c r="S63" s="12"/>
      <c r="T63" s="12"/>
      <c r="U63" s="24"/>
    </row>
    <row r="64" spans="1:21" ht="15.5" x14ac:dyDescent="0.35">
      <c r="A64" s="16"/>
      <c r="B64" s="12"/>
      <c r="C64" s="12"/>
      <c r="D64" s="12"/>
      <c r="E64" s="12"/>
      <c r="F64" s="12"/>
      <c r="G64" s="12"/>
      <c r="H64" s="12"/>
      <c r="I64" s="12"/>
      <c r="J64" s="29" t="s">
        <v>70</v>
      </c>
      <c r="K64" s="12" t="s">
        <v>211</v>
      </c>
      <c r="L64" s="36">
        <f>1-L63</f>
        <v>0.52505010020040088</v>
      </c>
      <c r="M64" s="38" t="s">
        <v>210</v>
      </c>
      <c r="N64" s="35">
        <v>1</v>
      </c>
      <c r="O64" s="36" t="s">
        <v>210</v>
      </c>
      <c r="P64" s="35">
        <v>1</v>
      </c>
      <c r="Q64" s="12" t="s">
        <v>210</v>
      </c>
      <c r="R64" s="35">
        <v>1</v>
      </c>
      <c r="S64" s="12"/>
      <c r="T64" s="12"/>
      <c r="U64" s="24"/>
    </row>
    <row r="65" spans="1:21" ht="15.5" x14ac:dyDescent="0.35">
      <c r="A65" s="16"/>
      <c r="B65" s="12"/>
      <c r="C65" s="12"/>
      <c r="D65" s="12"/>
      <c r="E65" s="12"/>
      <c r="F65" s="12"/>
      <c r="G65" s="12"/>
      <c r="H65" s="12"/>
      <c r="I65" s="12"/>
      <c r="J65" s="29" t="s">
        <v>71</v>
      </c>
      <c r="K65" s="12" t="s">
        <v>211</v>
      </c>
      <c r="L65" s="35">
        <v>1</v>
      </c>
      <c r="M65" s="38" t="s">
        <v>210</v>
      </c>
      <c r="N65" s="35">
        <f>57/499</f>
        <v>0.11422845691382766</v>
      </c>
      <c r="O65" s="12" t="s">
        <v>210</v>
      </c>
      <c r="P65" s="35">
        <f>376/499</f>
        <v>0.75350701402805609</v>
      </c>
      <c r="Q65" s="12" t="s">
        <v>210</v>
      </c>
      <c r="R65" s="35">
        <v>1</v>
      </c>
      <c r="S65" s="12"/>
      <c r="T65" s="12"/>
      <c r="U65" s="24"/>
    </row>
    <row r="66" spans="1:21" ht="15.5" x14ac:dyDescent="0.35">
      <c r="A66" s="16"/>
      <c r="B66" s="12"/>
      <c r="C66" s="12"/>
      <c r="D66" s="12"/>
      <c r="E66" s="12"/>
      <c r="F66" s="12"/>
      <c r="G66" s="12"/>
      <c r="H66" s="12"/>
      <c r="I66" s="12"/>
      <c r="J66" s="29" t="s">
        <v>71</v>
      </c>
      <c r="K66" s="12" t="s">
        <v>211</v>
      </c>
      <c r="L66" s="35">
        <v>1</v>
      </c>
      <c r="M66" s="38" t="s">
        <v>211</v>
      </c>
      <c r="N66" s="35">
        <f>1-N65</f>
        <v>0.88577154308617234</v>
      </c>
      <c r="O66" s="12" t="s">
        <v>211</v>
      </c>
      <c r="P66" s="35">
        <f>1-P65</f>
        <v>0.24649298597194391</v>
      </c>
      <c r="Q66" s="12" t="s">
        <v>210</v>
      </c>
      <c r="R66" s="35">
        <v>1</v>
      </c>
      <c r="S66" s="12"/>
      <c r="T66" s="12"/>
      <c r="U66" s="24"/>
    </row>
    <row r="67" spans="1:21" ht="15.5" x14ac:dyDescent="0.35">
      <c r="A67" s="16"/>
      <c r="B67" s="12"/>
      <c r="C67" s="12"/>
      <c r="D67" s="12"/>
      <c r="E67" s="12"/>
      <c r="F67" s="12"/>
      <c r="G67" s="12"/>
      <c r="H67" s="12"/>
      <c r="I67" s="12"/>
      <c r="J67" s="29" t="s">
        <v>72</v>
      </c>
      <c r="K67" s="12" t="s">
        <v>211</v>
      </c>
      <c r="L67" s="36">
        <f>356/499</f>
        <v>0.71342685370741488</v>
      </c>
      <c r="M67" s="38" t="s">
        <v>211</v>
      </c>
      <c r="N67" s="35">
        <v>1</v>
      </c>
      <c r="O67" s="36" t="s">
        <v>211</v>
      </c>
      <c r="P67" s="35">
        <v>1</v>
      </c>
      <c r="Q67" s="12" t="s">
        <v>210</v>
      </c>
      <c r="R67" s="35">
        <f>196/499</f>
        <v>0.39278557114228457</v>
      </c>
      <c r="S67" s="12"/>
      <c r="T67" s="12"/>
      <c r="U67" s="24"/>
    </row>
    <row r="68" spans="1:21" ht="15.5" x14ac:dyDescent="0.35">
      <c r="A68" s="22" t="s">
        <v>212</v>
      </c>
      <c r="B68" s="23">
        <f>'2025 Affordability Calcluations'!B3</f>
        <v>159800</v>
      </c>
      <c r="C68" s="12"/>
      <c r="D68" s="12"/>
      <c r="E68" s="12"/>
      <c r="F68" s="12"/>
      <c r="G68" s="12"/>
      <c r="J68" s="29" t="s">
        <v>72</v>
      </c>
      <c r="K68" s="12" t="s">
        <v>213</v>
      </c>
      <c r="L68" s="35">
        <f>1-L67</f>
        <v>0.28657314629258512</v>
      </c>
      <c r="M68" s="38" t="s">
        <v>211</v>
      </c>
      <c r="N68" s="35">
        <v>1</v>
      </c>
      <c r="O68" s="35" t="s">
        <v>211</v>
      </c>
      <c r="P68" s="35">
        <v>1</v>
      </c>
      <c r="Q68" s="12" t="s">
        <v>211</v>
      </c>
      <c r="R68" s="35">
        <f>1-R67</f>
        <v>0.60721442885771548</v>
      </c>
      <c r="S68" s="12"/>
      <c r="T68" s="12"/>
      <c r="U68" s="24"/>
    </row>
    <row r="69" spans="1:21" ht="15.5" x14ac:dyDescent="0.35">
      <c r="A69" s="25" t="s">
        <v>214</v>
      </c>
      <c r="B69" s="12"/>
      <c r="C69" s="12"/>
      <c r="D69" s="12"/>
      <c r="E69" s="12"/>
      <c r="F69" s="12"/>
      <c r="G69" s="12"/>
      <c r="H69" s="12"/>
      <c r="I69" s="12"/>
      <c r="J69" s="29" t="s">
        <v>73</v>
      </c>
      <c r="K69" s="12" t="s">
        <v>213</v>
      </c>
      <c r="L69" s="35">
        <v>1</v>
      </c>
      <c r="M69" s="38" t="s">
        <v>211</v>
      </c>
      <c r="N69" s="36">
        <f>335/499</f>
        <v>0.67134268537074149</v>
      </c>
      <c r="O69" s="12" t="s">
        <v>211</v>
      </c>
      <c r="P69" s="35">
        <v>1</v>
      </c>
      <c r="Q69" s="12" t="s">
        <v>211</v>
      </c>
      <c r="R69" s="35">
        <v>1</v>
      </c>
      <c r="S69" s="12"/>
      <c r="T69" s="12"/>
      <c r="U69" s="24"/>
    </row>
    <row r="70" spans="1:21" ht="15.5" x14ac:dyDescent="0.35">
      <c r="A70" s="16"/>
      <c r="B70" s="12" t="s">
        <v>215</v>
      </c>
      <c r="C70" s="12" t="s">
        <v>208</v>
      </c>
      <c r="D70" s="12" t="s">
        <v>209</v>
      </c>
      <c r="E70" s="12" t="s">
        <v>210</v>
      </c>
      <c r="F70" s="12" t="s">
        <v>211</v>
      </c>
      <c r="G70" s="12"/>
      <c r="H70" s="12"/>
      <c r="I70" s="12"/>
      <c r="J70" s="29" t="s">
        <v>73</v>
      </c>
      <c r="K70" s="12" t="s">
        <v>213</v>
      </c>
      <c r="L70" s="35">
        <v>1</v>
      </c>
      <c r="M70" s="38" t="s">
        <v>213</v>
      </c>
      <c r="N70" s="35">
        <f>1-N69</f>
        <v>0.32865731462925851</v>
      </c>
      <c r="O70" s="12" t="s">
        <v>211</v>
      </c>
      <c r="P70" s="35">
        <v>1</v>
      </c>
      <c r="Q70" s="12" t="s">
        <v>211</v>
      </c>
      <c r="R70" s="35">
        <v>1</v>
      </c>
      <c r="S70" s="12"/>
      <c r="T70" s="12"/>
      <c r="U70" s="24"/>
    </row>
    <row r="71" spans="1:21" ht="15.5" x14ac:dyDescent="0.35">
      <c r="A71" s="16" t="s">
        <v>42</v>
      </c>
      <c r="B71" s="29">
        <f>B68*0.7</f>
        <v>111860</v>
      </c>
      <c r="C71" s="29">
        <f>B71*0.3</f>
        <v>33558</v>
      </c>
      <c r="D71" s="29">
        <f>B71*0.5</f>
        <v>55930</v>
      </c>
      <c r="E71" s="29">
        <f>B71*0.8</f>
        <v>89488</v>
      </c>
      <c r="F71" s="29">
        <f>B71*1.2</f>
        <v>134232</v>
      </c>
      <c r="G71" s="12"/>
      <c r="H71" s="12"/>
      <c r="I71" s="12"/>
      <c r="J71" s="29" t="s">
        <v>74</v>
      </c>
      <c r="K71" s="12" t="s">
        <v>213</v>
      </c>
      <c r="L71" s="35">
        <v>1</v>
      </c>
      <c r="M71" s="38" t="s">
        <v>213</v>
      </c>
      <c r="N71" s="35">
        <v>1</v>
      </c>
      <c r="O71" s="12" t="s">
        <v>211</v>
      </c>
      <c r="P71" s="35">
        <f>315/499</f>
        <v>0.63126252505010017</v>
      </c>
      <c r="Q71" s="12" t="s">
        <v>211</v>
      </c>
      <c r="R71" s="35">
        <v>1</v>
      </c>
      <c r="S71" s="12"/>
      <c r="T71" s="12"/>
      <c r="U71" s="24"/>
    </row>
    <row r="72" spans="1:21" ht="15.5" x14ac:dyDescent="0.35">
      <c r="A72" s="16" t="s">
        <v>216</v>
      </c>
      <c r="B72" s="29">
        <f>B68*0.8</f>
        <v>127840</v>
      </c>
      <c r="C72" s="29">
        <f t="shared" ref="C72:C74" si="10">B72*0.3</f>
        <v>38352</v>
      </c>
      <c r="D72" s="29">
        <f t="shared" ref="D72:D74" si="11">B72*0.5</f>
        <v>63920</v>
      </c>
      <c r="E72" s="29">
        <f t="shared" ref="E72:E74" si="12">B72*0.8</f>
        <v>102272</v>
      </c>
      <c r="F72" s="29">
        <f t="shared" ref="F72:F74" si="13">B72*1.2</f>
        <v>153408</v>
      </c>
      <c r="G72" s="12"/>
      <c r="H72" s="12"/>
      <c r="I72" s="12"/>
      <c r="J72" s="29" t="s">
        <v>74</v>
      </c>
      <c r="K72" s="12" t="s">
        <v>213</v>
      </c>
      <c r="L72" s="35">
        <v>1</v>
      </c>
      <c r="M72" s="38" t="s">
        <v>213</v>
      </c>
      <c r="N72" s="35">
        <v>1</v>
      </c>
      <c r="O72" s="12" t="s">
        <v>213</v>
      </c>
      <c r="P72" s="35">
        <f>1-P71</f>
        <v>0.36873747494989983</v>
      </c>
      <c r="Q72" s="12" t="s">
        <v>211</v>
      </c>
      <c r="R72" s="35">
        <v>1</v>
      </c>
      <c r="S72" s="12"/>
      <c r="T72" s="12"/>
      <c r="U72" s="24"/>
    </row>
    <row r="73" spans="1:21" ht="15.5" x14ac:dyDescent="0.35">
      <c r="A73" s="16" t="s">
        <v>217</v>
      </c>
      <c r="B73" s="29">
        <f>B68*0.9</f>
        <v>143820</v>
      </c>
      <c r="C73" s="29">
        <f t="shared" si="10"/>
        <v>43146</v>
      </c>
      <c r="D73" s="29">
        <f t="shared" si="11"/>
        <v>71910</v>
      </c>
      <c r="E73" s="29">
        <f t="shared" si="12"/>
        <v>115056</v>
      </c>
      <c r="F73" s="29">
        <f t="shared" si="13"/>
        <v>172584</v>
      </c>
      <c r="G73" s="12"/>
      <c r="H73" s="12"/>
      <c r="I73" s="12"/>
      <c r="J73" s="29" t="s">
        <v>75</v>
      </c>
      <c r="K73" s="12" t="s">
        <v>213</v>
      </c>
      <c r="L73" s="35">
        <v>1</v>
      </c>
      <c r="M73" s="38" t="s">
        <v>213</v>
      </c>
      <c r="N73" s="35">
        <v>1</v>
      </c>
      <c r="O73" s="12" t="s">
        <v>213</v>
      </c>
      <c r="P73" s="35">
        <v>1</v>
      </c>
      <c r="Q73" s="12" t="s">
        <v>211</v>
      </c>
      <c r="R73" s="35">
        <v>1</v>
      </c>
      <c r="S73" s="12"/>
      <c r="T73" s="12"/>
      <c r="U73" s="24"/>
    </row>
    <row r="74" spans="1:21" ht="15.5" x14ac:dyDescent="0.35">
      <c r="A74" s="16" t="s">
        <v>218</v>
      </c>
      <c r="B74" s="29">
        <f>B68</f>
        <v>159800</v>
      </c>
      <c r="C74" s="29">
        <f t="shared" si="10"/>
        <v>47940</v>
      </c>
      <c r="D74" s="29">
        <f t="shared" si="11"/>
        <v>79900</v>
      </c>
      <c r="E74" s="29">
        <f t="shared" si="12"/>
        <v>127840</v>
      </c>
      <c r="F74" s="29">
        <f t="shared" si="13"/>
        <v>191760</v>
      </c>
      <c r="G74" s="12"/>
      <c r="H74" s="12"/>
      <c r="I74" s="12"/>
      <c r="J74" s="12"/>
      <c r="K74" s="12"/>
      <c r="L74" s="12"/>
      <c r="M74" s="12"/>
      <c r="N74" s="12"/>
      <c r="O74" s="12"/>
      <c r="P74" s="12"/>
      <c r="Q74" s="12"/>
      <c r="R74" s="12"/>
      <c r="S74" s="12"/>
      <c r="T74" s="12"/>
      <c r="U74" s="24"/>
    </row>
    <row r="75" spans="1:21" ht="15.75" customHeight="1" x14ac:dyDescent="0.35">
      <c r="A75" s="16"/>
      <c r="B75" s="12"/>
      <c r="C75" s="12"/>
      <c r="D75" s="12"/>
      <c r="E75" s="12"/>
      <c r="F75" s="12"/>
      <c r="G75" s="12"/>
      <c r="H75" s="52" t="s">
        <v>225</v>
      </c>
      <c r="I75" s="51"/>
      <c r="J75" s="51"/>
      <c r="K75" s="51"/>
      <c r="L75" s="51"/>
      <c r="M75" s="51"/>
      <c r="N75" s="51"/>
      <c r="O75" s="51"/>
      <c r="P75" s="51"/>
      <c r="Q75" s="51"/>
      <c r="R75" s="12"/>
      <c r="S75" s="12"/>
      <c r="T75" s="12"/>
      <c r="U75" s="24"/>
    </row>
    <row r="76" spans="1:21" ht="15.75" customHeight="1" x14ac:dyDescent="0.35">
      <c r="A76" s="25" t="s">
        <v>220</v>
      </c>
      <c r="B76" s="12"/>
      <c r="C76" s="12"/>
      <c r="D76" s="12"/>
      <c r="E76" s="12"/>
      <c r="F76" s="12"/>
      <c r="G76" s="12"/>
      <c r="H76" s="51"/>
      <c r="I76" s="51"/>
      <c r="J76" s="51"/>
      <c r="K76" s="51"/>
      <c r="L76" s="51"/>
      <c r="M76" s="51"/>
      <c r="N76" s="51"/>
      <c r="O76" s="51"/>
      <c r="P76" s="51"/>
      <c r="Q76" s="51"/>
      <c r="R76" s="12"/>
      <c r="S76" s="12"/>
      <c r="T76" s="12"/>
      <c r="U76" s="24"/>
    </row>
    <row r="77" spans="1:21" ht="15.5" x14ac:dyDescent="0.35">
      <c r="A77" s="16"/>
      <c r="B77" s="12" t="s">
        <v>215</v>
      </c>
      <c r="C77" s="12" t="s">
        <v>208</v>
      </c>
      <c r="D77" s="12" t="s">
        <v>209</v>
      </c>
      <c r="E77" s="12" t="s">
        <v>210</v>
      </c>
      <c r="F77" s="12" t="s">
        <v>211</v>
      </c>
      <c r="G77" s="12"/>
      <c r="H77" s="12"/>
      <c r="I77" s="12" t="s">
        <v>76</v>
      </c>
      <c r="J77" s="12" t="s">
        <v>165</v>
      </c>
      <c r="K77" s="12" t="s">
        <v>79</v>
      </c>
      <c r="L77" s="29" t="s">
        <v>67</v>
      </c>
      <c r="M77" s="29" t="s">
        <v>68</v>
      </c>
      <c r="N77" s="29" t="s">
        <v>69</v>
      </c>
      <c r="O77" s="29" t="s">
        <v>70</v>
      </c>
      <c r="P77" s="29" t="s">
        <v>71</v>
      </c>
      <c r="Q77" s="29" t="s">
        <v>72</v>
      </c>
      <c r="R77" s="29" t="s">
        <v>73</v>
      </c>
      <c r="S77" s="29" t="s">
        <v>74</v>
      </c>
      <c r="T77" s="29" t="s">
        <v>75</v>
      </c>
      <c r="U77" s="24"/>
    </row>
    <row r="78" spans="1:21" ht="15.5" x14ac:dyDescent="0.35">
      <c r="A78" s="16" t="s">
        <v>42</v>
      </c>
      <c r="B78" s="29">
        <f t="shared" ref="B78:F79" si="14">B71*0.3/12</f>
        <v>2796.5</v>
      </c>
      <c r="C78" s="29">
        <f t="shared" si="14"/>
        <v>838.94999999999993</v>
      </c>
      <c r="D78" s="29">
        <f t="shared" si="14"/>
        <v>1398.25</v>
      </c>
      <c r="E78" s="29">
        <f t="shared" si="14"/>
        <v>2237.1999999999998</v>
      </c>
      <c r="F78" s="29">
        <f t="shared" si="14"/>
        <v>3355.7999999999997</v>
      </c>
      <c r="G78" s="12"/>
      <c r="H78" s="12" t="s">
        <v>42</v>
      </c>
      <c r="I78" s="12">
        <f>COUNTIFS('ADU Homeowner Survey 2025'!$AG:$AG,"2025",'ADU Homeowner Survey 2025'!$B:$B,"Contra Costa County", 'ADU Homeowner Survey 2025'!$Q:$Q, "0 (studio)",'ADU Homeowner Survey 2025'!$R:$R, "Not planning to use for housing")</f>
        <v>3</v>
      </c>
      <c r="J78" s="12">
        <f>COUNTIFS('ADU Homeowner Survey 2025'!$AG:$AG,"2025",'ADU Homeowner Survey 2025'!$B:$B,"Contra Costa County", 'ADU Homeowner Survey 2025'!$Q:$Q, "0 (studio)",'ADU Homeowner Survey 2025'!$R:$R, "Decline to state")</f>
        <v>7</v>
      </c>
      <c r="K78" s="12">
        <f>COUNTIFS('ADU Homeowner Survey 2025'!$AG:$AG,"2025",'ADU Homeowner Survey 2025'!$B:$B,"Contra Costa County", 'ADU Homeowner Survey 2025'!$Q:$Q, "0 (studio)",'ADU Homeowner Survey 2025'!$R:$R, "Not planning to charge rent")</f>
        <v>10</v>
      </c>
      <c r="L78" s="12">
        <f>COUNTIFS('ADU Homeowner Survey 2025'!$AG:$AG,"2025",'ADU Homeowner Survey 2025'!$B:$B,"Contra Costa County", 'ADU Homeowner Survey 2025'!$Q:$Q, "0 (studio)",'ADU Homeowner Survey 2025'!$R:$R, "$1 - $1,000")</f>
        <v>4</v>
      </c>
      <c r="M78" s="12">
        <f>COUNTIFS('ADU Homeowner Survey 2025'!$AG:$AG,"2025",'ADU Homeowner Survey 2025'!$B:$B,"Contra Costa County", 'ADU Homeowner Survey 2025'!$Q:$Q, "0 (studio)",'ADU Homeowner Survey 2025'!$R:$R, "$1,001 - $1,500")</f>
        <v>4</v>
      </c>
      <c r="N78" s="12">
        <f>COUNTIFS('ADU Homeowner Survey 2025'!$AG:$AG,"2025",'ADU Homeowner Survey 2025'!$B:$B,"Contra Costa County", 'ADU Homeowner Survey 2025'!$Q:$Q, "0 (studio)",'ADU Homeowner Survey 2025'!$R:$R, "$1,501 - $2,000")</f>
        <v>1</v>
      </c>
      <c r="O78" s="12">
        <f>COUNTIFS('ADU Homeowner Survey 2025'!$AG:$AG,"2025",'ADU Homeowner Survey 2025'!$B:$B,"Contra Costa County", 'ADU Homeowner Survey 2025'!$Q:$Q, "0 (studio)",'ADU Homeowner Survey 2025'!$R:$R, "$2,001 - $2,500")</f>
        <v>0</v>
      </c>
      <c r="P78" s="12">
        <f>COUNTIFS('ADU Homeowner Survey 2025'!$AG:$AG,"2025",'ADU Homeowner Survey 2025'!$B:$B,"Contra Costa County", 'ADU Homeowner Survey 2025'!$Q:$Q, "0 (studio)",'ADU Homeowner Survey 2025'!$R:$R, "$2,501 - $3,000")</f>
        <v>0</v>
      </c>
      <c r="Q78" s="12">
        <f>COUNTIFS('ADU Homeowner Survey 2025'!$AG:$AG,"2025",'ADU Homeowner Survey 2025'!$B:$B,"Contra Costa County", 'ADU Homeowner Survey 2025'!$Q:$Q, "0 (studio)",'ADU Homeowner Survey 2025'!$R:$R, "$3,001 - $3,500")</f>
        <v>0</v>
      </c>
      <c r="R78" s="12">
        <f>COUNTIFS('ADU Homeowner Survey 2025'!$AG:$AG,"2025",'ADU Homeowner Survey 2025'!$B:$B,"Contra Costa County", 'ADU Homeowner Survey 2025'!$Q:$Q, "0 (studio)",'ADU Homeowner Survey 2025'!$R:$R, "$3,501 - $4,000")</f>
        <v>0</v>
      </c>
      <c r="S78" s="12">
        <f>COUNTIFS('ADU Homeowner Survey 2025'!$AG:$AG,"2025",'ADU Homeowner Survey 2025'!$B:$B,"Contra Costa County", 'ADU Homeowner Survey 2025'!$Q:$Q, "0 (studio)",'ADU Homeowner Survey 2025'!$R:$R, "$4,001 - $4,500")</f>
        <v>0</v>
      </c>
      <c r="T78" s="12">
        <f>COUNTIFS('ADU Homeowner Survey 2025'!$AG:$AG,"2025",'ADU Homeowner Survey 2025'!$B:$B,"Contra Costa County", 'ADU Homeowner Survey 2025'!$Q:$Q, "0 (studio)",'ADU Homeowner Survey 2025'!$R:$R, "More than $4,500")</f>
        <v>0</v>
      </c>
      <c r="U78" s="24">
        <f>SUM(I78:T78)</f>
        <v>29</v>
      </c>
    </row>
    <row r="79" spans="1:21" ht="15.5" x14ac:dyDescent="0.35">
      <c r="A79" s="16" t="s">
        <v>216</v>
      </c>
      <c r="B79" s="29">
        <f t="shared" si="14"/>
        <v>3196</v>
      </c>
      <c r="C79" s="29">
        <f t="shared" si="14"/>
        <v>958.80000000000007</v>
      </c>
      <c r="D79" s="29">
        <f t="shared" si="14"/>
        <v>1598</v>
      </c>
      <c r="E79" s="29">
        <f t="shared" si="14"/>
        <v>2556.7999999999997</v>
      </c>
      <c r="F79" s="29">
        <f t="shared" si="14"/>
        <v>3835.2000000000003</v>
      </c>
      <c r="G79" s="12"/>
      <c r="H79" s="12" t="s">
        <v>216</v>
      </c>
      <c r="I79" s="12">
        <f>COUNTIFS('ADU Homeowner Survey 2025'!$AG:$AG,"2025",'ADU Homeowner Survey 2025'!$B:$B,"Contra Costa County", 'ADU Homeowner Survey 2025'!$Q:$Q, "1",'ADU Homeowner Survey 2025'!$R:$R, "Not planning to use for housing")</f>
        <v>2</v>
      </c>
      <c r="J79" s="12">
        <f>COUNTIFS('ADU Homeowner Survey 2025'!$AG:$AG,"2025",'ADU Homeowner Survey 2025'!$B:$B,"Contra Costa County", 'ADU Homeowner Survey 2025'!$Q:$Q, "1",'ADU Homeowner Survey 2025'!$R:$R, "Decline to state")</f>
        <v>2</v>
      </c>
      <c r="K79" s="12">
        <f>COUNTIFS('ADU Homeowner Survey 2025'!$AG:$AG,"2025",'ADU Homeowner Survey 2025'!$B:$B,"Contra Costa County", 'ADU Homeowner Survey 2025'!$Q:$Q, "1",'ADU Homeowner Survey 2025'!$R:$R, "Not planning to charge rent")</f>
        <v>16</v>
      </c>
      <c r="L79" s="12">
        <f>COUNTIFS('ADU Homeowner Survey 2025'!$AG:$AG,"2025",'ADU Homeowner Survey 2025'!$B:$B,"Contra Costa County", 'ADU Homeowner Survey 2025'!$Q:$Q, "1",'ADU Homeowner Survey 2025'!$R:$R, "$1 - $1,000")</f>
        <v>6</v>
      </c>
      <c r="M79" s="12">
        <f>COUNTIFS('ADU Homeowner Survey 2025'!$AG:$AG,"2025",'ADU Homeowner Survey 2025'!$B:$B,"Contra Costa County", 'ADU Homeowner Survey 2025'!$Q:$Q, "1",'ADU Homeowner Survey 2025'!$R:$R, "$1,001 - $1,500")</f>
        <v>10</v>
      </c>
      <c r="N79" s="12">
        <f>COUNTIFS('ADU Homeowner Survey 2025'!$AG:$AG,"2025",'ADU Homeowner Survey 2025'!$B:$B,"Contra Costa County", 'ADU Homeowner Survey 2025'!$Q:$Q, "1",'ADU Homeowner Survey 2025'!$R:$R, "$1,501 - $2,000")</f>
        <v>8</v>
      </c>
      <c r="O79" s="12">
        <f>COUNTIFS('ADU Homeowner Survey 2025'!$AG:$AG,"2025",'ADU Homeowner Survey 2025'!$B:$B,"Contra Costa County", 'ADU Homeowner Survey 2025'!$Q:$Q, "1",'ADU Homeowner Survey 2025'!$R:$R, "$2,001 - $2,500")</f>
        <v>4</v>
      </c>
      <c r="P79" s="12">
        <f>COUNTIFS('ADU Homeowner Survey 2025'!$AG:$AG,"2025",'ADU Homeowner Survey 2025'!$B:$B,"Contra Costa County", 'ADU Homeowner Survey 2025'!$Q:$Q, "1",'ADU Homeowner Survey 2025'!$R:$R, "$2,501 - $3,000")</f>
        <v>1</v>
      </c>
      <c r="Q79" s="12">
        <f>COUNTIFS('ADU Homeowner Survey 2025'!$AG:$AG,"2025",'ADU Homeowner Survey 2025'!$B:$B,"Contra Costa County", 'ADU Homeowner Survey 2025'!$Q:$Q, "1",'ADU Homeowner Survey 2025'!$R:$R, "$3,001 - $3,500")</f>
        <v>0</v>
      </c>
      <c r="R79" s="12">
        <f>COUNTIFS('ADU Homeowner Survey 2025'!$AG:$AG,"2025",'ADU Homeowner Survey 2025'!$B:$B,"Contra Costa County", 'ADU Homeowner Survey 2025'!$Q:$Q, "1",'ADU Homeowner Survey 2025'!$R:$R, "$3,501 - $4,000")</f>
        <v>0</v>
      </c>
      <c r="S79" s="12">
        <f>COUNTIFS('ADU Homeowner Survey 2025'!$AG:$AG,"2025",'ADU Homeowner Survey 2025'!$B:$B,"Contra Costa County", 'ADU Homeowner Survey 2025'!$Q:$Q, "1",'ADU Homeowner Survey 2025'!$R:$R, "$4,001 - $4,500")</f>
        <v>0</v>
      </c>
      <c r="T79" s="12">
        <f>COUNTIFS('ADU Homeowner Survey 2025'!$AG:$AG,"2025",'ADU Homeowner Survey 2025'!$B:$B,"Contra Costa County", 'ADU Homeowner Survey 2025'!$Q:$Q, "1",'ADU Homeowner Survey 2025'!$R:$R, "More than $4,500")</f>
        <v>0</v>
      </c>
      <c r="U79" s="24">
        <f t="shared" ref="U79:U82" si="15">SUM(I79:T79)</f>
        <v>49</v>
      </c>
    </row>
    <row r="80" spans="1:21" ht="15.5" x14ac:dyDescent="0.35">
      <c r="A80" s="16" t="s">
        <v>217</v>
      </c>
      <c r="B80" s="29">
        <f t="shared" ref="B80:F81" si="16">B73*0.3/12</f>
        <v>3595.5</v>
      </c>
      <c r="C80" s="29">
        <f t="shared" si="16"/>
        <v>1078.6499999999999</v>
      </c>
      <c r="D80" s="29">
        <f t="shared" si="16"/>
        <v>1797.75</v>
      </c>
      <c r="E80" s="29">
        <f t="shared" si="16"/>
        <v>2876.3999999999996</v>
      </c>
      <c r="F80" s="29">
        <f t="shared" si="16"/>
        <v>4314.5999999999995</v>
      </c>
      <c r="G80" s="12"/>
      <c r="H80" s="12" t="s">
        <v>217</v>
      </c>
      <c r="I80" s="12">
        <f>COUNTIFS('ADU Homeowner Survey 2025'!$AG:$AG,"2025",'ADU Homeowner Survey 2025'!$B:$B,"Contra Costa County", 'ADU Homeowner Survey 2025'!$Q:$Q, "2",'ADU Homeowner Survey 2025'!$R:$R, "Not planning to use for housing")</f>
        <v>2</v>
      </c>
      <c r="J80" s="12">
        <f>COUNTIFS('ADU Homeowner Survey 2025'!$AG:$AG,"2025",'ADU Homeowner Survey 2025'!$B:$B,"Contra Costa County", 'ADU Homeowner Survey 2025'!$Q:$Q, "2",'ADU Homeowner Survey 2025'!$R:$R, "Decline to state")</f>
        <v>7</v>
      </c>
      <c r="K80" s="12">
        <f>COUNTIFS('ADU Homeowner Survey 2025'!$AG:$AG,"2025",'ADU Homeowner Survey 2025'!$B:$B,"Contra Costa County", 'ADU Homeowner Survey 2025'!$Q:$Q, "2",'ADU Homeowner Survey 2025'!$R:$R, "Not planning to charge rent")</f>
        <v>8</v>
      </c>
      <c r="L80" s="12">
        <f>COUNTIFS('ADU Homeowner Survey 2025'!$AG:$AG,"2025",'ADU Homeowner Survey 2025'!$B:$B,"Contra Costa County", 'ADU Homeowner Survey 2025'!$Q:$Q, "2",'ADU Homeowner Survey 2025'!$R:$R, "$1 - $1,000")</f>
        <v>3</v>
      </c>
      <c r="M80" s="12">
        <f>COUNTIFS('ADU Homeowner Survey 2025'!$AG:$AG,"2025",'ADU Homeowner Survey 2025'!$B:$B,"Contra Costa County", 'ADU Homeowner Survey 2025'!$Q:$Q, "2",'ADU Homeowner Survey 2025'!$R:$R, "$1,001 - $1,500")</f>
        <v>2</v>
      </c>
      <c r="N80" s="12">
        <f>COUNTIFS('ADU Homeowner Survey 2025'!$AG:$AG,"2025",'ADU Homeowner Survey 2025'!$B:$B,"Contra Costa County", 'ADU Homeowner Survey 2025'!$Q:$Q, "2",'ADU Homeowner Survey 2025'!$R:$R, "$1,501 - $2,000")</f>
        <v>9</v>
      </c>
      <c r="O80" s="12">
        <f>COUNTIFS('ADU Homeowner Survey 2025'!$AG:$AG,"2025",'ADU Homeowner Survey 2025'!$B:$B,"Contra Costa County", 'ADU Homeowner Survey 2025'!$Q:$Q, "2",'ADU Homeowner Survey 2025'!$R:$R, "$2,001 - $2,500")</f>
        <v>8</v>
      </c>
      <c r="P80" s="12">
        <f>COUNTIFS('ADU Homeowner Survey 2025'!$AG:$AG,"2025",'ADU Homeowner Survey 2025'!$B:$B,"Contra Costa County", 'ADU Homeowner Survey 2025'!$Q:$Q, "2",'ADU Homeowner Survey 2025'!$R:$R, "$2,501 - $3,000")</f>
        <v>7</v>
      </c>
      <c r="Q80" s="12">
        <f>COUNTIFS('ADU Homeowner Survey 2025'!$AG:$AG,"2025",'ADU Homeowner Survey 2025'!$B:$B,"Contra Costa County", 'ADU Homeowner Survey 2025'!$Q:$Q, "2",'ADU Homeowner Survey 2025'!$R:$R, "$3,001 - $3,500")</f>
        <v>2</v>
      </c>
      <c r="R80" s="12">
        <f>COUNTIFS('ADU Homeowner Survey 2025'!$AG:$AG,"2025",'ADU Homeowner Survey 2025'!$B:$B,"Contra Costa County", 'ADU Homeowner Survey 2025'!$Q:$Q, "2",'ADU Homeowner Survey 2025'!$R:$R, "$3,501 - $4,000")</f>
        <v>0</v>
      </c>
      <c r="S80" s="12">
        <f>COUNTIFS('ADU Homeowner Survey 2025'!$AG:$AG,"2025",'ADU Homeowner Survey 2025'!$B:$B,"Contra Costa County", 'ADU Homeowner Survey 2025'!$Q:$Q, "2",'ADU Homeowner Survey 2025'!$R:$R, "$4,001 - $4,500")</f>
        <v>1</v>
      </c>
      <c r="T80" s="12">
        <f>COUNTIFS('ADU Homeowner Survey 2025'!$AG:$AG,"2025",'ADU Homeowner Survey 2025'!$B:$B,"Contra Costa County", 'ADU Homeowner Survey 2025'!$Q:$Q, "2",'ADU Homeowner Survey 2025'!$R:$R, "More than $4,500")</f>
        <v>0</v>
      </c>
      <c r="U80" s="24">
        <f t="shared" si="15"/>
        <v>49</v>
      </c>
    </row>
    <row r="81" spans="1:21" ht="15.5" x14ac:dyDescent="0.35">
      <c r="A81" s="16" t="s">
        <v>218</v>
      </c>
      <c r="B81" s="29">
        <f t="shared" si="16"/>
        <v>3995</v>
      </c>
      <c r="C81" s="29">
        <f t="shared" si="16"/>
        <v>1198.5</v>
      </c>
      <c r="D81" s="29">
        <f t="shared" si="16"/>
        <v>1997.5</v>
      </c>
      <c r="E81" s="29">
        <f t="shared" si="16"/>
        <v>3196</v>
      </c>
      <c r="F81" s="29">
        <f t="shared" si="16"/>
        <v>4794</v>
      </c>
      <c r="G81" s="12"/>
      <c r="H81" s="12" t="s">
        <v>221</v>
      </c>
      <c r="I81" s="12">
        <f>COUNTIFS('ADU Homeowner Survey 2025'!$AG:$AG,"2025",'ADU Homeowner Survey 2025'!$B:$B,"Contra Costa County", 'ADU Homeowner Survey 2025'!$Q:$Q, "3 or more",'ADU Homeowner Survey 2025'!$R:$R, "Not planning to use for housing")</f>
        <v>0</v>
      </c>
      <c r="J81" s="12">
        <f>COUNTIFS('ADU Homeowner Survey 2025'!$AG:$AG,"2025",'ADU Homeowner Survey 2025'!$B:$B,"Contra Costa County", 'ADU Homeowner Survey 2025'!$Q:$Q, "3 or more",'ADU Homeowner Survey 2025'!$R:$R, "Decline to state")</f>
        <v>0</v>
      </c>
      <c r="K81" s="12">
        <f>COUNTIFS('ADU Homeowner Survey 2025'!$AG:$AG,"2025",'ADU Homeowner Survey 2025'!$B:$B,"Contra Costa County", 'ADU Homeowner Survey 2025'!$Q:$Q, "3 or more",'ADU Homeowner Survey 2025'!$R:$R, "Not planning to charge rent")</f>
        <v>1</v>
      </c>
      <c r="L81" s="12">
        <f>COUNTIFS('ADU Homeowner Survey 2025'!$AG:$AG,"2025",'ADU Homeowner Survey 2025'!$B:$B,"Contra Costa County", 'ADU Homeowner Survey 2025'!$Q:$Q, "3 or more",'ADU Homeowner Survey 2025'!$R:$R, "$1 - $1,000")</f>
        <v>2</v>
      </c>
      <c r="M81" s="12">
        <f>COUNTIFS('ADU Homeowner Survey 2025'!$AG:$AG,"2025",'ADU Homeowner Survey 2025'!$B:$B,"Contra Costa County", 'ADU Homeowner Survey 2025'!$Q:$Q, "3 or more",'ADU Homeowner Survey 2025'!$R:$R, "$1,001 - $1,500")</f>
        <v>0</v>
      </c>
      <c r="N81" s="12">
        <f>COUNTIFS('ADU Homeowner Survey 2025'!$AG:$AG,"2025",'ADU Homeowner Survey 2025'!$B:$B,"Contra Costa County", 'ADU Homeowner Survey 2025'!$Q:$Q, "3 or more",'ADU Homeowner Survey 2025'!$R:$R, "$1,501 - $2,000")</f>
        <v>1</v>
      </c>
      <c r="O81" s="12">
        <f>COUNTIFS('ADU Homeowner Survey 2025'!$AG:$AG,"2025",'ADU Homeowner Survey 2025'!$B:$B,"Contra Costa County", 'ADU Homeowner Survey 2025'!$Q:$Q, "3 or more",'ADU Homeowner Survey 2025'!$R:$R, "$2,001 - $2,500")</f>
        <v>0</v>
      </c>
      <c r="P81" s="12">
        <f>COUNTIFS('ADU Homeowner Survey 2025'!$AG:$AG,"2025",'ADU Homeowner Survey 2025'!$B:$B,"Contra Costa County", 'ADU Homeowner Survey 2025'!$Q:$Q, "3 or more",'ADU Homeowner Survey 2025'!$R:$R, "$2,501 - $3,000")</f>
        <v>0</v>
      </c>
      <c r="Q81" s="12">
        <f>COUNTIFS('ADU Homeowner Survey 2025'!$AG:$AG,"2025",'ADU Homeowner Survey 2025'!$B:$B,"Contra Costa County", 'ADU Homeowner Survey 2025'!$Q:$Q, "3 or more",'ADU Homeowner Survey 2025'!$R:$R, "$3,001 - $3,500")</f>
        <v>0</v>
      </c>
      <c r="R81" s="12">
        <f>COUNTIFS('ADU Homeowner Survey 2025'!$AG:$AG,"2025",'ADU Homeowner Survey 2025'!$B:$B,"Contra Costa County", 'ADU Homeowner Survey 2025'!$Q:$Q, "3 or more",'ADU Homeowner Survey 2025'!$R:$R, "$3,501 - $4,000")</f>
        <v>0</v>
      </c>
      <c r="S81" s="12">
        <f>COUNTIFS('ADU Homeowner Survey 2025'!$AG:$AG,"2025",'ADU Homeowner Survey 2025'!$B:$B,"Contra Costa County", 'ADU Homeowner Survey 2025'!$Q:$Q, "3 or more",'ADU Homeowner Survey 2025'!$R:$R, "$4,001 - $4,500")</f>
        <v>0</v>
      </c>
      <c r="T81" s="12">
        <f>COUNTIFS('ADU Homeowner Survey 2025'!$AG:$AG,"2025",'ADU Homeowner Survey 2025'!$B:$B,"Contra Costa County", 'ADU Homeowner Survey 2025'!$Q:$Q, "3 or more",'ADU Homeowner Survey 2025'!$R:$R, "More than $4,500")</f>
        <v>0</v>
      </c>
      <c r="U81" s="24">
        <f t="shared" si="15"/>
        <v>4</v>
      </c>
    </row>
    <row r="82" spans="1:21" ht="15.75" customHeight="1" x14ac:dyDescent="0.35">
      <c r="A82" s="16"/>
      <c r="B82" s="12"/>
      <c r="C82" s="12"/>
      <c r="D82" s="12"/>
      <c r="E82" s="12"/>
      <c r="F82" s="12"/>
      <c r="G82" s="12"/>
      <c r="H82" s="12" t="s">
        <v>222</v>
      </c>
      <c r="I82" s="12">
        <f>SUM(I78:I81)</f>
        <v>7</v>
      </c>
      <c r="J82" s="12">
        <f>SUM(J78:J81)</f>
        <v>16</v>
      </c>
      <c r="K82" s="12">
        <f t="shared" ref="K82:T82" si="17">SUM(K78:K81)</f>
        <v>35</v>
      </c>
      <c r="L82" s="12">
        <f t="shared" si="17"/>
        <v>15</v>
      </c>
      <c r="M82" s="12">
        <f t="shared" si="17"/>
        <v>16</v>
      </c>
      <c r="N82" s="12">
        <f t="shared" si="17"/>
        <v>19</v>
      </c>
      <c r="O82" s="12">
        <f t="shared" si="17"/>
        <v>12</v>
      </c>
      <c r="P82" s="12">
        <f t="shared" si="17"/>
        <v>8</v>
      </c>
      <c r="Q82" s="12">
        <f t="shared" si="17"/>
        <v>2</v>
      </c>
      <c r="R82" s="12">
        <f t="shared" si="17"/>
        <v>0</v>
      </c>
      <c r="S82" s="12">
        <f t="shared" si="17"/>
        <v>1</v>
      </c>
      <c r="T82" s="12">
        <f t="shared" si="17"/>
        <v>0</v>
      </c>
      <c r="U82" s="24">
        <f t="shared" si="15"/>
        <v>131</v>
      </c>
    </row>
    <row r="83" spans="1:21" ht="15.75" customHeight="1" x14ac:dyDescent="0.35">
      <c r="A83" s="16"/>
      <c r="B83" s="12"/>
      <c r="C83" s="12"/>
      <c r="D83" s="12"/>
      <c r="E83" s="12"/>
      <c r="F83" s="12"/>
      <c r="G83" s="12"/>
      <c r="H83" s="12"/>
      <c r="I83" s="12"/>
      <c r="J83" s="12"/>
      <c r="K83" s="12"/>
      <c r="L83" s="12"/>
      <c r="M83" s="12"/>
      <c r="N83" s="12"/>
      <c r="O83" s="12"/>
      <c r="P83" s="12"/>
      <c r="Q83" s="12"/>
      <c r="R83" s="12"/>
      <c r="S83" s="12"/>
      <c r="T83" s="12"/>
      <c r="U83" s="12"/>
    </row>
    <row r="84" spans="1:21" ht="15.75" customHeight="1" x14ac:dyDescent="0.35">
      <c r="A84" s="16"/>
      <c r="B84" s="12"/>
      <c r="C84" s="12"/>
      <c r="D84" s="12"/>
      <c r="E84" s="12"/>
      <c r="F84" s="12"/>
      <c r="G84" s="12"/>
      <c r="H84" s="58" t="s">
        <v>225</v>
      </c>
      <c r="I84" s="58"/>
      <c r="J84" s="58"/>
      <c r="K84" s="58"/>
      <c r="L84" s="58"/>
      <c r="M84" s="58"/>
      <c r="N84" s="58"/>
      <c r="O84" s="58"/>
      <c r="P84" s="58"/>
      <c r="Q84" s="58"/>
      <c r="R84" s="12"/>
      <c r="S84" s="12"/>
      <c r="T84" s="12"/>
      <c r="U84" s="12"/>
    </row>
    <row r="85" spans="1:21" ht="15.75" customHeight="1" x14ac:dyDescent="0.35">
      <c r="A85" s="25" t="s">
        <v>220</v>
      </c>
      <c r="B85" s="12"/>
      <c r="C85" s="12"/>
      <c r="D85" s="12"/>
      <c r="E85" s="12"/>
      <c r="F85" s="12"/>
      <c r="G85" s="12"/>
      <c r="H85" s="58"/>
      <c r="I85" s="58"/>
      <c r="J85" s="58"/>
      <c r="K85" s="58"/>
      <c r="L85" s="58"/>
      <c r="M85" s="58"/>
      <c r="N85" s="58"/>
      <c r="O85" s="58"/>
      <c r="P85" s="58"/>
      <c r="Q85" s="58"/>
      <c r="R85" s="12"/>
      <c r="S85" s="12"/>
      <c r="T85" s="12"/>
      <c r="U85" s="12"/>
    </row>
    <row r="86" spans="1:21" ht="15.5" x14ac:dyDescent="0.35">
      <c r="A86" s="16"/>
      <c r="B86" s="12" t="s">
        <v>215</v>
      </c>
      <c r="C86" s="12" t="s">
        <v>208</v>
      </c>
      <c r="D86" s="12" t="s">
        <v>209</v>
      </c>
      <c r="E86" s="12" t="s">
        <v>210</v>
      </c>
      <c r="F86" s="12" t="s">
        <v>211</v>
      </c>
      <c r="G86" s="12"/>
      <c r="H86" s="12"/>
      <c r="I86" s="12"/>
      <c r="J86" s="12" t="s">
        <v>165</v>
      </c>
      <c r="K86" s="12" t="s">
        <v>208</v>
      </c>
      <c r="L86" s="12" t="s">
        <v>223</v>
      </c>
      <c r="M86" s="12" t="s">
        <v>210</v>
      </c>
      <c r="N86" s="12" t="s">
        <v>211</v>
      </c>
      <c r="O86" s="12" t="s">
        <v>224</v>
      </c>
      <c r="Q86" s="12"/>
      <c r="R86" s="12"/>
      <c r="S86" s="12"/>
      <c r="T86" s="12"/>
      <c r="U86" s="12"/>
    </row>
    <row r="87" spans="1:21" ht="15.5" x14ac:dyDescent="0.35">
      <c r="A87" s="16" t="s">
        <v>42</v>
      </c>
      <c r="B87" s="29" t="s">
        <v>71</v>
      </c>
      <c r="C87" s="29" t="s">
        <v>67</v>
      </c>
      <c r="D87" s="29" t="s">
        <v>68</v>
      </c>
      <c r="E87" s="29" t="s">
        <v>70</v>
      </c>
      <c r="F87" s="29" t="s">
        <v>72</v>
      </c>
      <c r="G87" s="12"/>
      <c r="H87" s="12" t="s">
        <v>42</v>
      </c>
      <c r="I87" s="12">
        <f>I78</f>
        <v>3</v>
      </c>
      <c r="J87" s="35">
        <f>J78</f>
        <v>7</v>
      </c>
      <c r="K87" s="35">
        <f>K78+L78*L57</f>
        <v>13.3558</v>
      </c>
      <c r="L87" s="35">
        <f>L78*L58+M78*L59</f>
        <v>3.8345807615230463</v>
      </c>
      <c r="M87" s="35">
        <f>M78*L60+N78</f>
        <v>1.8096192384769538</v>
      </c>
      <c r="N87" s="35">
        <v>0</v>
      </c>
      <c r="O87" s="35">
        <v>0</v>
      </c>
      <c r="P87" s="35">
        <f>SUM(I87:O87)</f>
        <v>29.000000000000004</v>
      </c>
      <c r="Q87" s="12"/>
      <c r="R87" s="12"/>
      <c r="S87" s="12"/>
      <c r="T87" s="12"/>
      <c r="U87" s="12"/>
    </row>
    <row r="88" spans="1:21" ht="15.5" x14ac:dyDescent="0.35">
      <c r="A88" s="16" t="s">
        <v>216</v>
      </c>
      <c r="B88" s="29" t="s">
        <v>72</v>
      </c>
      <c r="C88" s="29" t="s">
        <v>67</v>
      </c>
      <c r="D88" s="29" t="s">
        <v>69</v>
      </c>
      <c r="E88" s="29" t="s">
        <v>71</v>
      </c>
      <c r="F88" s="29" t="s">
        <v>73</v>
      </c>
      <c r="G88" s="12"/>
      <c r="H88" s="12" t="s">
        <v>216</v>
      </c>
      <c r="I88" s="12">
        <f t="shared" ref="I88:I91" si="18">I79</f>
        <v>2</v>
      </c>
      <c r="J88" s="35">
        <f>J79</f>
        <v>2</v>
      </c>
      <c r="K88" s="35">
        <f>K79+L79*N57</f>
        <v>21.752800000000001</v>
      </c>
      <c r="L88" s="35">
        <f>L79*N58+M79+N79*N61</f>
        <v>11.818342284569137</v>
      </c>
      <c r="M88" s="7">
        <f>N62*N79+O79+N65*P79</f>
        <v>10.54308617234469</v>
      </c>
      <c r="N88" s="35">
        <f>P79*N66</f>
        <v>0.88577154308617234</v>
      </c>
      <c r="O88" s="35">
        <v>0</v>
      </c>
      <c r="P88" s="35">
        <f t="shared" ref="P88:P91" si="19">SUM(I88:O88)</f>
        <v>48.999999999999993</v>
      </c>
      <c r="Q88" s="12"/>
      <c r="R88" s="12"/>
      <c r="S88" s="12"/>
      <c r="T88" s="12"/>
      <c r="U88" s="12"/>
    </row>
    <row r="89" spans="1:21" ht="15.5" x14ac:dyDescent="0.35">
      <c r="A89" s="16" t="s">
        <v>217</v>
      </c>
      <c r="B89" s="29" t="s">
        <v>73</v>
      </c>
      <c r="C89" s="29" t="s">
        <v>68</v>
      </c>
      <c r="D89" s="29" t="s">
        <v>69</v>
      </c>
      <c r="E89" s="29" t="s">
        <v>71</v>
      </c>
      <c r="F89" s="29" t="s">
        <v>74</v>
      </c>
      <c r="G89" s="12"/>
      <c r="H89" s="12" t="s">
        <v>217</v>
      </c>
      <c r="I89" s="12">
        <f t="shared" si="18"/>
        <v>2</v>
      </c>
      <c r="J89" s="35">
        <f>J80</f>
        <v>7</v>
      </c>
      <c r="K89" s="35">
        <f>K80+L80+M80*P59</f>
        <v>11.316633266533065</v>
      </c>
      <c r="L89" s="35">
        <f>M80*P60+N80*P61</f>
        <v>7.05811623246493</v>
      </c>
      <c r="M89" s="35">
        <f>N80*P62+O80+P80*P65</f>
        <v>16.899799599198396</v>
      </c>
      <c r="N89" s="35">
        <f>P80*P66+Q80+S80*P71</f>
        <v>4.3567134268537071</v>
      </c>
      <c r="O89" s="35">
        <f>S80*P72</f>
        <v>0.36873747494989983</v>
      </c>
      <c r="P89" s="35">
        <f t="shared" si="19"/>
        <v>49</v>
      </c>
      <c r="Q89" s="12"/>
      <c r="R89" s="12"/>
      <c r="S89" s="12"/>
      <c r="T89" s="12"/>
      <c r="U89" s="12"/>
    </row>
    <row r="90" spans="1:21" ht="15.5" x14ac:dyDescent="0.35">
      <c r="A90" s="16" t="s">
        <v>218</v>
      </c>
      <c r="B90" s="29" t="s">
        <v>73</v>
      </c>
      <c r="C90" s="29" t="s">
        <v>68</v>
      </c>
      <c r="D90" s="29" t="s">
        <v>69</v>
      </c>
      <c r="E90" s="29" t="s">
        <v>72</v>
      </c>
      <c r="F90" s="29" t="s">
        <v>75</v>
      </c>
      <c r="G90" s="12"/>
      <c r="H90" s="12" t="s">
        <v>221</v>
      </c>
      <c r="I90" s="12">
        <f t="shared" si="18"/>
        <v>0</v>
      </c>
      <c r="J90" s="35">
        <f>J81</f>
        <v>0</v>
      </c>
      <c r="K90" s="35">
        <f>K81+L81</f>
        <v>3</v>
      </c>
      <c r="L90" s="35">
        <f>N81</f>
        <v>1</v>
      </c>
      <c r="M90" s="35">
        <v>0</v>
      </c>
      <c r="N90" s="35">
        <v>0</v>
      </c>
      <c r="O90" s="35">
        <v>0</v>
      </c>
      <c r="P90" s="35">
        <f t="shared" si="19"/>
        <v>4</v>
      </c>
      <c r="Q90" s="12"/>
      <c r="R90" s="12"/>
      <c r="S90" s="12"/>
      <c r="T90" s="12"/>
    </row>
    <row r="91" spans="1:21" ht="15.5" x14ac:dyDescent="0.35">
      <c r="A91" s="16"/>
      <c r="B91" s="29"/>
      <c r="C91" s="29"/>
      <c r="D91" s="29"/>
      <c r="E91" s="29"/>
      <c r="F91" s="29"/>
      <c r="G91" s="12"/>
      <c r="H91" s="12" t="s">
        <v>222</v>
      </c>
      <c r="I91" s="12">
        <f t="shared" si="18"/>
        <v>7</v>
      </c>
      <c r="J91" s="35">
        <f>SUM(J87:J90)</f>
        <v>16</v>
      </c>
      <c r="K91" s="35">
        <f t="shared" ref="K91:O91" si="20">SUM(K87:K90)</f>
        <v>49.42523326653307</v>
      </c>
      <c r="L91" s="35">
        <f t="shared" si="20"/>
        <v>23.711039278557113</v>
      </c>
      <c r="M91" s="35">
        <f t="shared" si="20"/>
        <v>29.252505010020037</v>
      </c>
      <c r="N91" s="35">
        <f t="shared" si="20"/>
        <v>5.2424849699398797</v>
      </c>
      <c r="O91" s="35">
        <f t="shared" si="20"/>
        <v>0.36873747494989983</v>
      </c>
      <c r="P91" s="35">
        <f t="shared" si="19"/>
        <v>131</v>
      </c>
      <c r="Q91" s="12"/>
      <c r="R91" s="12"/>
      <c r="S91" s="12"/>
      <c r="T91" s="12"/>
    </row>
    <row r="92" spans="1:21" ht="16" thickBot="1" x14ac:dyDescent="0.4">
      <c r="A92" s="18"/>
      <c r="B92" s="26"/>
      <c r="C92" s="26"/>
      <c r="D92" s="26"/>
      <c r="E92" s="26"/>
      <c r="F92" s="26"/>
      <c r="G92" s="26"/>
      <c r="H92" s="26"/>
      <c r="I92" s="26"/>
      <c r="J92" s="26"/>
      <c r="K92" s="26"/>
      <c r="L92" s="26"/>
      <c r="M92" s="26"/>
      <c r="N92" s="26"/>
      <c r="O92" s="26"/>
      <c r="P92" s="26"/>
      <c r="Q92" s="26"/>
      <c r="R92" s="26"/>
      <c r="S92" s="26"/>
      <c r="T92" s="26"/>
      <c r="U92" s="27"/>
    </row>
    <row r="94" spans="1:21" ht="15" thickBot="1" x14ac:dyDescent="0.4"/>
    <row r="95" spans="1:21" ht="15.5" x14ac:dyDescent="0.35">
      <c r="A95" s="14" t="s">
        <v>147</v>
      </c>
      <c r="B95" s="20"/>
      <c r="C95" s="20"/>
      <c r="D95" s="20"/>
      <c r="E95" s="20"/>
      <c r="F95" s="20"/>
      <c r="G95" s="20"/>
      <c r="H95" s="20"/>
      <c r="I95" s="20"/>
      <c r="J95" s="20"/>
      <c r="K95" s="20"/>
      <c r="L95" s="20"/>
      <c r="M95" s="20"/>
      <c r="N95" s="20"/>
      <c r="O95" s="20"/>
      <c r="P95" s="20"/>
      <c r="Q95" s="20"/>
      <c r="R95" s="20"/>
      <c r="S95" s="20"/>
      <c r="T95" s="20"/>
      <c r="U95" s="21"/>
    </row>
    <row r="96" spans="1:21" ht="15.5" x14ac:dyDescent="0.35">
      <c r="A96" s="16"/>
      <c r="B96" s="12"/>
      <c r="C96" s="12"/>
      <c r="D96" s="12"/>
      <c r="E96" s="12"/>
      <c r="F96" s="12"/>
      <c r="G96" s="12"/>
      <c r="K96" s="5" t="s">
        <v>42</v>
      </c>
      <c r="L96" s="5" t="s">
        <v>42</v>
      </c>
      <c r="M96" s="5" t="s">
        <v>203</v>
      </c>
      <c r="N96" s="5" t="s">
        <v>203</v>
      </c>
      <c r="O96" s="5" t="s">
        <v>204</v>
      </c>
      <c r="P96" s="5" t="s">
        <v>204</v>
      </c>
      <c r="Q96" s="5" t="s">
        <v>205</v>
      </c>
      <c r="R96" s="5" t="s">
        <v>205</v>
      </c>
      <c r="S96" s="12"/>
      <c r="T96" s="12"/>
      <c r="U96" s="24"/>
    </row>
    <row r="97" spans="1:21" ht="15.5" x14ac:dyDescent="0.35">
      <c r="A97" s="16"/>
      <c r="B97" s="12"/>
      <c r="C97" s="12"/>
      <c r="D97" s="12"/>
      <c r="E97" s="12"/>
      <c r="F97" s="12"/>
      <c r="G97" s="12"/>
      <c r="J97" s="37"/>
      <c r="K97" s="37" t="s">
        <v>206</v>
      </c>
      <c r="L97" s="37" t="s">
        <v>207</v>
      </c>
      <c r="M97" s="37" t="s">
        <v>206</v>
      </c>
      <c r="N97" s="37" t="s">
        <v>207</v>
      </c>
      <c r="O97" s="37" t="s">
        <v>206</v>
      </c>
      <c r="P97" s="37" t="s">
        <v>207</v>
      </c>
      <c r="Q97" s="37" t="s">
        <v>206</v>
      </c>
      <c r="R97" s="37" t="s">
        <v>207</v>
      </c>
      <c r="S97" s="12"/>
      <c r="T97" s="12"/>
      <c r="U97" s="24"/>
    </row>
    <row r="98" spans="1:21" ht="15.5" x14ac:dyDescent="0.35">
      <c r="A98" s="16"/>
      <c r="B98" s="12"/>
      <c r="C98" s="12"/>
      <c r="D98" s="12"/>
      <c r="E98" s="12"/>
      <c r="F98" s="12"/>
      <c r="G98" s="12"/>
      <c r="J98" s="29" t="s">
        <v>67</v>
      </c>
      <c r="K98" s="12" t="s">
        <v>208</v>
      </c>
      <c r="L98" s="36">
        <f>C119/1000</f>
        <v>0.9796499999999998</v>
      </c>
      <c r="M98" s="38" t="s">
        <v>208</v>
      </c>
      <c r="N98" s="36">
        <v>1</v>
      </c>
      <c r="O98" s="36" t="s">
        <v>208</v>
      </c>
      <c r="P98" s="35">
        <v>1</v>
      </c>
      <c r="Q98" s="12" t="s">
        <v>208</v>
      </c>
      <c r="R98" s="35">
        <v>1</v>
      </c>
      <c r="S98" s="12"/>
      <c r="T98" s="12"/>
      <c r="U98" s="24"/>
    </row>
    <row r="99" spans="1:21" ht="15.5" x14ac:dyDescent="0.35">
      <c r="A99" s="16"/>
      <c r="B99" s="12"/>
      <c r="C99" s="12"/>
      <c r="D99" s="12"/>
      <c r="E99" s="12"/>
      <c r="F99" s="12"/>
      <c r="G99" s="12"/>
      <c r="J99" s="29" t="s">
        <v>67</v>
      </c>
      <c r="K99" s="12" t="s">
        <v>209</v>
      </c>
      <c r="L99" s="35">
        <f>1-L98</f>
        <v>2.0350000000000201E-2</v>
      </c>
      <c r="M99" s="38" t="s">
        <v>208</v>
      </c>
      <c r="N99" s="35">
        <v>1</v>
      </c>
      <c r="O99" s="36" t="s">
        <v>208</v>
      </c>
      <c r="P99" s="35">
        <v>1</v>
      </c>
      <c r="Q99" s="12" t="s">
        <v>208</v>
      </c>
      <c r="R99" s="35">
        <v>1</v>
      </c>
      <c r="S99" s="12"/>
      <c r="T99" s="12"/>
      <c r="U99" s="24"/>
    </row>
    <row r="100" spans="1:21" ht="15.5" x14ac:dyDescent="0.35">
      <c r="A100" s="16"/>
      <c r="B100" s="12"/>
      <c r="C100" s="12"/>
      <c r="D100" s="12"/>
      <c r="E100" s="12"/>
      <c r="F100" s="12"/>
      <c r="G100" s="12"/>
      <c r="J100" s="29" t="s">
        <v>68</v>
      </c>
      <c r="K100" s="12" t="s">
        <v>209</v>
      </c>
      <c r="L100" s="35">
        <v>1</v>
      </c>
      <c r="M100" s="35" t="s">
        <v>208</v>
      </c>
      <c r="N100" s="35">
        <v>0.23767535070140261</v>
      </c>
      <c r="O100" s="35" t="s">
        <v>208</v>
      </c>
      <c r="P100" s="35">
        <f>(C121-1001)/499</f>
        <v>0.51813627254509009</v>
      </c>
      <c r="Q100" s="12" t="s">
        <v>208</v>
      </c>
      <c r="R100" s="35">
        <f>(C122-1000)/499</f>
        <v>0.80060120240480959</v>
      </c>
      <c r="S100" s="12"/>
      <c r="T100" s="12"/>
      <c r="U100" s="24"/>
    </row>
    <row r="101" spans="1:21" ht="15.5" x14ac:dyDescent="0.35">
      <c r="A101" s="16"/>
      <c r="B101" s="12"/>
      <c r="C101" s="12"/>
      <c r="D101" s="12"/>
      <c r="E101" s="12"/>
      <c r="F101" s="12"/>
      <c r="G101" s="12"/>
      <c r="J101" s="29" t="s">
        <v>68</v>
      </c>
      <c r="K101" s="12" t="s">
        <v>209</v>
      </c>
      <c r="L101" s="35">
        <v>1</v>
      </c>
      <c r="M101" s="35" t="s">
        <v>209</v>
      </c>
      <c r="N101" s="35">
        <v>0.76232464929859733</v>
      </c>
      <c r="O101" s="35" t="s">
        <v>209</v>
      </c>
      <c r="P101" s="35">
        <f>1-P100</f>
        <v>0.48186372745490991</v>
      </c>
      <c r="Q101" s="12" t="s">
        <v>209</v>
      </c>
      <c r="R101" s="35">
        <f>1-R100</f>
        <v>0.19939879759519041</v>
      </c>
      <c r="S101" s="12"/>
      <c r="T101" s="12"/>
      <c r="U101" s="24"/>
    </row>
    <row r="102" spans="1:21" ht="15.5" x14ac:dyDescent="0.35">
      <c r="A102" s="16"/>
      <c r="B102" s="12"/>
      <c r="C102" s="12"/>
      <c r="D102" s="12"/>
      <c r="E102" s="12"/>
      <c r="F102" s="12"/>
      <c r="G102" s="12"/>
      <c r="J102" s="29" t="s">
        <v>69</v>
      </c>
      <c r="K102" s="12" t="s">
        <v>209</v>
      </c>
      <c r="L102" s="35">
        <f>(D119-1501)/499</f>
        <v>0.26402805611222402</v>
      </c>
      <c r="M102" s="36" t="s">
        <v>209</v>
      </c>
      <c r="N102" s="35">
        <v>0.73146292585170336</v>
      </c>
      <c r="O102" s="35" t="s">
        <v>209</v>
      </c>
      <c r="P102" s="35">
        <v>1</v>
      </c>
      <c r="Q102" s="12" t="s">
        <v>209</v>
      </c>
      <c r="R102" s="35">
        <v>1</v>
      </c>
      <c r="S102" s="12"/>
      <c r="T102" s="12"/>
      <c r="U102" s="24"/>
    </row>
    <row r="103" spans="1:21" ht="15" customHeight="1" x14ac:dyDescent="0.35">
      <c r="A103" s="16"/>
      <c r="B103" s="12"/>
      <c r="C103" s="12"/>
      <c r="D103" s="12"/>
      <c r="E103" s="12"/>
      <c r="F103" s="12"/>
      <c r="G103" s="12"/>
      <c r="J103" s="29" t="s">
        <v>69</v>
      </c>
      <c r="K103" s="12" t="s">
        <v>210</v>
      </c>
      <c r="L103" s="35">
        <f>1-L102</f>
        <v>0.73597194388777598</v>
      </c>
      <c r="M103" s="35" t="s">
        <v>210</v>
      </c>
      <c r="N103" s="35">
        <v>0.26853707414829664</v>
      </c>
      <c r="O103" s="35" t="s">
        <v>209</v>
      </c>
      <c r="P103" s="35">
        <v>1</v>
      </c>
      <c r="Q103" s="12" t="s">
        <v>209</v>
      </c>
      <c r="R103" s="35">
        <v>1</v>
      </c>
      <c r="S103" s="12"/>
      <c r="T103" s="12"/>
      <c r="U103" s="24"/>
    </row>
    <row r="104" spans="1:21" ht="15" customHeight="1" x14ac:dyDescent="0.35">
      <c r="A104" s="16"/>
      <c r="B104" s="12"/>
      <c r="C104" s="12"/>
      <c r="D104" s="12"/>
      <c r="E104" s="12"/>
      <c r="F104" s="12"/>
      <c r="G104" s="12"/>
      <c r="J104" s="29" t="s">
        <v>70</v>
      </c>
      <c r="K104" s="12" t="s">
        <v>210</v>
      </c>
      <c r="L104" s="36">
        <v>1</v>
      </c>
      <c r="M104" s="35" t="s">
        <v>210</v>
      </c>
      <c r="N104" s="36">
        <v>1</v>
      </c>
      <c r="O104" s="35" t="s">
        <v>209</v>
      </c>
      <c r="P104" s="35">
        <f>(D121-2001)/499</f>
        <v>0.1968937875751503</v>
      </c>
      <c r="Q104" s="12" t="s">
        <v>209</v>
      </c>
      <c r="R104" s="35">
        <f>(D122-2001)/499</f>
        <v>0.66432865731462931</v>
      </c>
      <c r="S104" s="12"/>
      <c r="T104" s="12"/>
      <c r="U104" s="24"/>
    </row>
    <row r="105" spans="1:21" ht="15" customHeight="1" x14ac:dyDescent="0.35">
      <c r="A105" s="16"/>
      <c r="B105" s="12"/>
      <c r="C105" s="12"/>
      <c r="D105" s="12"/>
      <c r="E105" s="12"/>
      <c r="F105" s="12"/>
      <c r="G105" s="12"/>
      <c r="J105" s="29" t="s">
        <v>70</v>
      </c>
      <c r="K105" s="12" t="s">
        <v>210</v>
      </c>
      <c r="L105" s="36">
        <v>1</v>
      </c>
      <c r="M105" s="35" t="s">
        <v>210</v>
      </c>
      <c r="N105" s="36">
        <v>1</v>
      </c>
      <c r="O105" s="36" t="s">
        <v>210</v>
      </c>
      <c r="P105" s="35">
        <f>1-P104</f>
        <v>0.8031062124248497</v>
      </c>
      <c r="Q105" s="12" t="s">
        <v>210</v>
      </c>
      <c r="R105" s="35">
        <f>1-R104</f>
        <v>0.33567134268537069</v>
      </c>
      <c r="S105" s="12"/>
      <c r="T105" s="12"/>
      <c r="U105" s="24"/>
    </row>
    <row r="106" spans="1:21" ht="15.5" x14ac:dyDescent="0.35">
      <c r="A106" s="16"/>
      <c r="B106" s="12"/>
      <c r="C106" s="12"/>
      <c r="D106" s="12"/>
      <c r="E106" s="12"/>
      <c r="F106" s="12"/>
      <c r="G106" s="12"/>
      <c r="J106" s="29" t="s">
        <v>71</v>
      </c>
      <c r="K106" s="12" t="s">
        <v>210</v>
      </c>
      <c r="L106" s="35">
        <f>(E119-2501)/499</f>
        <v>0.22324649298597213</v>
      </c>
      <c r="M106" s="35" t="s">
        <v>210</v>
      </c>
      <c r="N106" s="35">
        <v>0.97114228456913809</v>
      </c>
      <c r="O106" s="35" t="s">
        <v>210</v>
      </c>
      <c r="P106" s="35">
        <v>1</v>
      </c>
      <c r="Q106" s="12" t="s">
        <v>210</v>
      </c>
      <c r="R106" s="35">
        <v>1</v>
      </c>
      <c r="S106" s="12"/>
      <c r="T106" s="12"/>
      <c r="U106" s="24"/>
    </row>
    <row r="107" spans="1:21" ht="15.5" x14ac:dyDescent="0.35">
      <c r="A107" s="16"/>
      <c r="B107" s="12"/>
      <c r="C107" s="12"/>
      <c r="D107" s="12"/>
      <c r="E107" s="12"/>
      <c r="F107" s="12"/>
      <c r="G107" s="12"/>
      <c r="J107" s="29" t="s">
        <v>71</v>
      </c>
      <c r="K107" s="12" t="s">
        <v>211</v>
      </c>
      <c r="L107" s="35">
        <f>1-L106</f>
        <v>0.7767535070140279</v>
      </c>
      <c r="M107" s="35" t="s">
        <v>211</v>
      </c>
      <c r="N107" s="35">
        <v>2.8857715430861908E-2</v>
      </c>
      <c r="O107" s="35" t="s">
        <v>210</v>
      </c>
      <c r="P107" s="35">
        <v>1</v>
      </c>
      <c r="Q107" s="12" t="s">
        <v>210</v>
      </c>
      <c r="R107" s="35">
        <v>1</v>
      </c>
      <c r="S107" s="12"/>
      <c r="T107" s="12"/>
      <c r="U107" s="24"/>
    </row>
    <row r="108" spans="1:21" ht="15.5" x14ac:dyDescent="0.35">
      <c r="A108" s="22" t="s">
        <v>212</v>
      </c>
      <c r="B108" s="23">
        <f>'2025 Affordability Calcluations'!B4</f>
        <v>186600</v>
      </c>
      <c r="C108" s="12"/>
      <c r="D108" s="12"/>
      <c r="E108" s="12"/>
      <c r="F108" s="12"/>
      <c r="G108" s="12"/>
      <c r="J108" s="29" t="s">
        <v>72</v>
      </c>
      <c r="K108" s="12" t="s">
        <v>211</v>
      </c>
      <c r="L108" s="36">
        <v>1</v>
      </c>
      <c r="M108" s="35" t="s">
        <v>211</v>
      </c>
      <c r="N108" s="36">
        <v>1</v>
      </c>
      <c r="O108" s="36" t="s">
        <v>210</v>
      </c>
      <c r="P108" s="35">
        <f>(E121-3001)/499</f>
        <v>0.71703406813627202</v>
      </c>
      <c r="Q108" s="12" t="s">
        <v>210</v>
      </c>
      <c r="R108" s="35">
        <v>1</v>
      </c>
      <c r="S108" s="12"/>
      <c r="T108" s="12"/>
      <c r="U108" s="24"/>
    </row>
    <row r="109" spans="1:21" ht="15.5" x14ac:dyDescent="0.35">
      <c r="A109" s="25" t="s">
        <v>214</v>
      </c>
      <c r="B109" s="12"/>
      <c r="C109" s="12"/>
      <c r="D109" s="12"/>
      <c r="E109" s="12"/>
      <c r="F109" s="12"/>
      <c r="G109" s="12"/>
      <c r="J109" s="29" t="s">
        <v>72</v>
      </c>
      <c r="K109" s="12" t="s">
        <v>211</v>
      </c>
      <c r="L109" s="35">
        <v>1</v>
      </c>
      <c r="M109" s="35" t="s">
        <v>211</v>
      </c>
      <c r="N109" s="35">
        <v>1</v>
      </c>
      <c r="O109" s="35" t="s">
        <v>211</v>
      </c>
      <c r="P109" s="35">
        <f>1-P108</f>
        <v>0.28296593186372798</v>
      </c>
      <c r="Q109" s="12" t="s">
        <v>210</v>
      </c>
      <c r="R109" s="35">
        <v>1</v>
      </c>
      <c r="S109" s="12"/>
      <c r="T109" s="12"/>
      <c r="U109" s="24"/>
    </row>
    <row r="110" spans="1:21" ht="15.5" x14ac:dyDescent="0.35">
      <c r="A110" s="16"/>
      <c r="B110" s="12" t="s">
        <v>215</v>
      </c>
      <c r="C110" s="12" t="s">
        <v>208</v>
      </c>
      <c r="D110" s="12" t="s">
        <v>209</v>
      </c>
      <c r="E110" s="12" t="s">
        <v>210</v>
      </c>
      <c r="F110" s="12" t="s">
        <v>211</v>
      </c>
      <c r="G110" s="12"/>
      <c r="J110" s="29" t="s">
        <v>73</v>
      </c>
      <c r="K110" s="12" t="s">
        <v>211</v>
      </c>
      <c r="L110" s="35">
        <f>(F119-3501)/499</f>
        <v>0.836873747494988</v>
      </c>
      <c r="M110" s="36" t="s">
        <v>211</v>
      </c>
      <c r="N110" s="35">
        <v>1</v>
      </c>
      <c r="O110" s="12" t="s">
        <v>211</v>
      </c>
      <c r="P110" s="35">
        <v>1</v>
      </c>
      <c r="Q110" s="12" t="s">
        <v>210</v>
      </c>
      <c r="R110" s="35">
        <f>(E122-3501)/499</f>
        <v>0.46292585170340683</v>
      </c>
      <c r="S110" s="12"/>
      <c r="T110" s="12"/>
      <c r="U110" s="24"/>
    </row>
    <row r="111" spans="1:21" ht="15.5" x14ac:dyDescent="0.35">
      <c r="A111" s="16" t="s">
        <v>42</v>
      </c>
      <c r="B111" s="29">
        <f>B108*0.7</f>
        <v>130619.99999999999</v>
      </c>
      <c r="C111" s="29">
        <f>B111*0.3</f>
        <v>39185.999999999993</v>
      </c>
      <c r="D111" s="29">
        <f>B111*0.5</f>
        <v>65309.999999999993</v>
      </c>
      <c r="E111" s="29">
        <f>B111*0.8</f>
        <v>104496</v>
      </c>
      <c r="F111" s="29">
        <f>B111*1.2</f>
        <v>156743.99999999997</v>
      </c>
      <c r="G111" s="12"/>
      <c r="J111" s="29" t="s">
        <v>73</v>
      </c>
      <c r="K111" s="12" t="s">
        <v>213</v>
      </c>
      <c r="L111" s="35">
        <f>1-L110</f>
        <v>0.163126252505012</v>
      </c>
      <c r="M111" s="35" t="s">
        <v>211</v>
      </c>
      <c r="N111" s="35">
        <v>1</v>
      </c>
      <c r="O111" s="12" t="s">
        <v>211</v>
      </c>
      <c r="P111" s="35">
        <v>1</v>
      </c>
      <c r="Q111" s="12" t="s">
        <v>211</v>
      </c>
      <c r="R111" s="35">
        <f>1-R110</f>
        <v>0.53707414829659317</v>
      </c>
      <c r="S111" s="12"/>
      <c r="T111" s="12"/>
      <c r="U111" s="24"/>
    </row>
    <row r="112" spans="1:21" ht="15.5" x14ac:dyDescent="0.35">
      <c r="A112" s="16" t="s">
        <v>216</v>
      </c>
      <c r="B112" s="29">
        <f>B108*0.8</f>
        <v>149280</v>
      </c>
      <c r="C112" s="29">
        <f t="shared" ref="C112:C114" si="21">B112*0.3</f>
        <v>44784</v>
      </c>
      <c r="D112" s="29">
        <f t="shared" ref="D112:D114" si="22">B112*0.5</f>
        <v>74640</v>
      </c>
      <c r="E112" s="29">
        <f t="shared" ref="E112:E114" si="23">B112*0.8</f>
        <v>119424</v>
      </c>
      <c r="F112" s="29">
        <f t="shared" ref="F112:F114" si="24">B112*1.2</f>
        <v>179136</v>
      </c>
      <c r="G112" s="12"/>
      <c r="J112" s="29" t="s">
        <v>74</v>
      </c>
      <c r="K112" s="12" t="s">
        <v>213</v>
      </c>
      <c r="L112" s="35">
        <v>1</v>
      </c>
      <c r="M112" s="35" t="s">
        <v>211</v>
      </c>
      <c r="N112" s="35">
        <v>1</v>
      </c>
      <c r="O112" s="12" t="s">
        <v>211</v>
      </c>
      <c r="P112" s="35">
        <v>1</v>
      </c>
      <c r="Q112" s="12" t="s">
        <v>211</v>
      </c>
      <c r="R112" s="35">
        <v>1</v>
      </c>
      <c r="S112" s="12"/>
      <c r="T112" s="12"/>
      <c r="U112" s="24"/>
    </row>
    <row r="113" spans="1:21" ht="15.5" x14ac:dyDescent="0.35">
      <c r="A113" s="16" t="s">
        <v>217</v>
      </c>
      <c r="B113" s="29">
        <f>B108*0.9</f>
        <v>167940</v>
      </c>
      <c r="C113" s="29">
        <f t="shared" si="21"/>
        <v>50382</v>
      </c>
      <c r="D113" s="29">
        <f t="shared" si="22"/>
        <v>83970</v>
      </c>
      <c r="E113" s="29">
        <f t="shared" si="23"/>
        <v>134352</v>
      </c>
      <c r="F113" s="29">
        <f t="shared" si="24"/>
        <v>201528</v>
      </c>
      <c r="G113" s="12"/>
      <c r="J113" s="29" t="s">
        <v>74</v>
      </c>
      <c r="K113" s="12" t="s">
        <v>213</v>
      </c>
      <c r="L113" s="35">
        <v>1</v>
      </c>
      <c r="M113" s="35" t="s">
        <v>211</v>
      </c>
      <c r="N113" s="35">
        <v>0.95671342685370664</v>
      </c>
      <c r="O113" s="12" t="s">
        <v>211</v>
      </c>
      <c r="P113" s="35">
        <v>1</v>
      </c>
      <c r="Q113" s="12" t="s">
        <v>211</v>
      </c>
      <c r="R113" s="35">
        <v>1</v>
      </c>
      <c r="S113" s="12"/>
      <c r="T113" s="12"/>
      <c r="U113" s="24"/>
    </row>
    <row r="114" spans="1:21" ht="15.5" x14ac:dyDescent="0.35">
      <c r="A114" s="16" t="s">
        <v>218</v>
      </c>
      <c r="B114" s="29">
        <f>B108</f>
        <v>186600</v>
      </c>
      <c r="C114" s="29">
        <f t="shared" si="21"/>
        <v>55980</v>
      </c>
      <c r="D114" s="29">
        <f t="shared" si="22"/>
        <v>93300</v>
      </c>
      <c r="E114" s="29">
        <f t="shared" si="23"/>
        <v>149280</v>
      </c>
      <c r="F114" s="29">
        <f t="shared" si="24"/>
        <v>223920</v>
      </c>
      <c r="G114" s="12"/>
      <c r="J114" s="29" t="s">
        <v>75</v>
      </c>
      <c r="K114" s="12" t="s">
        <v>213</v>
      </c>
      <c r="L114" s="35">
        <v>1</v>
      </c>
      <c r="M114" s="35" t="s">
        <v>213</v>
      </c>
      <c r="N114" s="35">
        <v>4.3286573146293361E-2</v>
      </c>
      <c r="O114" s="12" t="s">
        <v>211</v>
      </c>
      <c r="P114" s="35">
        <v>1</v>
      </c>
      <c r="Q114" s="12" t="s">
        <v>211</v>
      </c>
      <c r="R114" s="35">
        <v>1</v>
      </c>
      <c r="S114" s="12"/>
      <c r="T114" s="12"/>
      <c r="U114" s="24"/>
    </row>
    <row r="115" spans="1:21" ht="15.5" x14ac:dyDescent="0.35">
      <c r="A115" s="16"/>
      <c r="B115" s="29"/>
      <c r="C115" s="29"/>
      <c r="D115" s="29"/>
      <c r="E115" s="29"/>
      <c r="F115" s="29"/>
      <c r="G115" s="12"/>
      <c r="J115" s="29"/>
      <c r="K115" s="12"/>
      <c r="L115" s="35"/>
      <c r="M115" s="35"/>
      <c r="N115" s="35"/>
      <c r="O115" s="12"/>
      <c r="P115" s="35"/>
      <c r="Q115" s="12"/>
      <c r="R115" s="35"/>
      <c r="S115" s="12"/>
      <c r="T115" s="12"/>
      <c r="U115" s="24"/>
    </row>
    <row r="116" spans="1:21" ht="15.75" customHeight="1" x14ac:dyDescent="0.35">
      <c r="A116" s="16"/>
      <c r="B116" s="12"/>
      <c r="C116" s="12"/>
      <c r="D116" s="12"/>
      <c r="E116" s="12"/>
      <c r="F116" s="12"/>
      <c r="G116" s="12"/>
      <c r="H116" s="50" t="s">
        <v>226</v>
      </c>
      <c r="I116" s="47"/>
      <c r="J116" s="47"/>
      <c r="K116" s="47"/>
      <c r="L116" s="47"/>
      <c r="M116" s="47"/>
      <c r="N116" s="47"/>
      <c r="O116" s="47"/>
      <c r="P116" s="47"/>
      <c r="Q116" s="47"/>
      <c r="R116" s="12"/>
      <c r="S116" s="12"/>
      <c r="T116" s="12"/>
      <c r="U116" s="24"/>
    </row>
    <row r="117" spans="1:21" ht="15.5" x14ac:dyDescent="0.35">
      <c r="A117" s="25" t="s">
        <v>220</v>
      </c>
      <c r="B117" s="12"/>
      <c r="C117" s="12"/>
      <c r="D117" s="12"/>
      <c r="E117" s="12"/>
      <c r="F117" s="12"/>
      <c r="G117" s="12"/>
      <c r="H117" s="47"/>
      <c r="I117" s="47"/>
      <c r="J117" s="47"/>
      <c r="K117" s="47"/>
      <c r="L117" s="47"/>
      <c r="M117" s="47"/>
      <c r="N117" s="47"/>
      <c r="O117" s="47"/>
      <c r="P117" s="47"/>
      <c r="Q117" s="47"/>
      <c r="R117" s="12"/>
      <c r="S117" s="12"/>
      <c r="T117" s="12"/>
      <c r="U117" s="24"/>
    </row>
    <row r="118" spans="1:21" ht="15.5" x14ac:dyDescent="0.35">
      <c r="A118" s="16"/>
      <c r="B118" s="12" t="s">
        <v>215</v>
      </c>
      <c r="C118" s="12" t="s">
        <v>208</v>
      </c>
      <c r="D118" s="12" t="s">
        <v>209</v>
      </c>
      <c r="E118" s="12" t="s">
        <v>210</v>
      </c>
      <c r="F118" s="12" t="s">
        <v>211</v>
      </c>
      <c r="G118" s="12"/>
      <c r="H118" s="12"/>
      <c r="I118" s="12" t="s">
        <v>76</v>
      </c>
      <c r="J118" s="12" t="s">
        <v>165</v>
      </c>
      <c r="K118" s="12" t="s">
        <v>79</v>
      </c>
      <c r="L118" s="29" t="s">
        <v>67</v>
      </c>
      <c r="M118" s="29" t="s">
        <v>68</v>
      </c>
      <c r="N118" s="29" t="s">
        <v>69</v>
      </c>
      <c r="O118" s="29" t="s">
        <v>70</v>
      </c>
      <c r="P118" s="29" t="s">
        <v>71</v>
      </c>
      <c r="Q118" s="29" t="s">
        <v>72</v>
      </c>
      <c r="R118" s="29" t="s">
        <v>73</v>
      </c>
      <c r="S118" s="29" t="s">
        <v>74</v>
      </c>
      <c r="T118" s="29" t="s">
        <v>75</v>
      </c>
      <c r="U118" s="24"/>
    </row>
    <row r="119" spans="1:21" ht="15.5" x14ac:dyDescent="0.35">
      <c r="A119" s="16" t="s">
        <v>42</v>
      </c>
      <c r="B119" s="29">
        <f t="shared" ref="B119:F122" si="25">B111*0.3/12</f>
        <v>3265.4999999999995</v>
      </c>
      <c r="C119" s="29">
        <f t="shared" si="25"/>
        <v>979.64999999999975</v>
      </c>
      <c r="D119" s="29">
        <f t="shared" si="25"/>
        <v>1632.7499999999998</v>
      </c>
      <c r="E119" s="29">
        <f t="shared" si="25"/>
        <v>2612.4</v>
      </c>
      <c r="F119" s="29">
        <f t="shared" si="25"/>
        <v>3918.599999999999</v>
      </c>
      <c r="G119" s="12"/>
      <c r="H119" s="12" t="s">
        <v>42</v>
      </c>
      <c r="I119" s="12">
        <f>COUNTIFS('ADU Homeowner Survey 2025'!$AG:$AG,"2025",'ADU Homeowner Survey 2025'!$B:$B,"Marin County", 'ADU Homeowner Survey 2025'!$Q:$Q, "0 (studio)",'ADU Homeowner Survey 2025'!$R:$R, "Not planning to use for housing")</f>
        <v>2</v>
      </c>
      <c r="J119" s="12">
        <f>COUNTIFS('ADU Homeowner Survey 2025'!$AG:$AG,"2025",'ADU Homeowner Survey 2025'!$B:$B,"Marin County", 'ADU Homeowner Survey 2025'!$Q:$Q, "0 (studio)",'ADU Homeowner Survey 2025'!$R:$R, "Decline to state")</f>
        <v>0</v>
      </c>
      <c r="K119" s="12">
        <f>COUNTIFS('ADU Homeowner Survey 2025'!$AG:$AG,"2025",'ADU Homeowner Survey 2025'!$B:$B,"Marin County", 'ADU Homeowner Survey 2025'!$Q:$Q, "0 (studio)",'ADU Homeowner Survey 2025'!$R:$R, "Not planning to charge rent")</f>
        <v>3</v>
      </c>
      <c r="L119" s="12">
        <f>COUNTIFS('ADU Homeowner Survey 2025'!$AG:$AG,"2025",'ADU Homeowner Survey 2025'!$B:$B,"Marin County", 'ADU Homeowner Survey 2025'!$Q:$Q, "0 (studio)",'ADU Homeowner Survey 2025'!$R:$R, "$1 - $1,000")</f>
        <v>0</v>
      </c>
      <c r="M119" s="12">
        <f>COUNTIFS('ADU Homeowner Survey 2025'!$AG:$AG,"2025",'ADU Homeowner Survey 2025'!$B:$B,"Marin County", 'ADU Homeowner Survey 2025'!$Q:$Q, "0 (studio)",'ADU Homeowner Survey 2025'!$R:$R, "$1,001 - $1,500")</f>
        <v>2</v>
      </c>
      <c r="N119" s="12">
        <f>COUNTIFS('ADU Homeowner Survey 2025'!$AG:$AG,"2025",'ADU Homeowner Survey 2025'!$B:$B,"Marin County", 'ADU Homeowner Survey 2025'!$Q:$Q, "0 (studio)",'ADU Homeowner Survey 2025'!$R:$R, "$1,501 - $2,000")</f>
        <v>0</v>
      </c>
      <c r="O119" s="12">
        <f>COUNTIFS('ADU Homeowner Survey 2025'!$AG:$AG,"2025",'ADU Homeowner Survey 2025'!$B:$B,"Marin County", 'ADU Homeowner Survey 2025'!$Q:$Q, "0 (studio)",'ADU Homeowner Survey 2025'!$R:$R, "$2,001 - $2,500")</f>
        <v>0</v>
      </c>
      <c r="P119" s="12">
        <f>COUNTIFS('ADU Homeowner Survey 2025'!$AG:$AG,"2025",'ADU Homeowner Survey 2025'!$B:$B,"Marin County", 'ADU Homeowner Survey 2025'!$Q:$Q, "0 (studio)",'ADU Homeowner Survey 2025'!$R:$R, "$2,501 - $3,000")</f>
        <v>0</v>
      </c>
      <c r="Q119" s="12">
        <f>COUNTIFS('ADU Homeowner Survey 2025'!$AG:$AG,"2025",'ADU Homeowner Survey 2025'!$B:$B,"Marin County", 'ADU Homeowner Survey 2025'!$Q:$Q, "0 (studio)",'ADU Homeowner Survey 2025'!$R:$R, "$3,001 - $3,500")</f>
        <v>0</v>
      </c>
      <c r="R119" s="12">
        <f>COUNTIFS('ADU Homeowner Survey 2025'!$AG:$AG,"2025",'ADU Homeowner Survey 2025'!$B:$B,"Marin County", 'ADU Homeowner Survey 2025'!$Q:$Q, "0 (studio)",'ADU Homeowner Survey 2025'!$R:$R, "$3,501 - $4,000")</f>
        <v>0</v>
      </c>
      <c r="S119" s="12">
        <f>COUNTIFS('ADU Homeowner Survey 2025'!$AG:$AG,"2025",'ADU Homeowner Survey 2025'!$B:$B,"Marin County", 'ADU Homeowner Survey 2025'!$Q:$Q, "0 (studio)",'ADU Homeowner Survey 2025'!$R:$R, "$4,001 - $4,500")</f>
        <v>0</v>
      </c>
      <c r="T119" s="12">
        <f>COUNTIFS('ADU Homeowner Survey 2025'!$AG:$AG,"2025",'ADU Homeowner Survey 2025'!$B:$B,"Marin County", 'ADU Homeowner Survey 2025'!$Q:$Q, "0 (studio)",'ADU Homeowner Survey 2025'!$R:$R, "More than $4,500")</f>
        <v>0</v>
      </c>
      <c r="U119" s="24">
        <f>SUM(I119:T119)</f>
        <v>7</v>
      </c>
    </row>
    <row r="120" spans="1:21" ht="15.5" x14ac:dyDescent="0.35">
      <c r="A120" s="16" t="s">
        <v>216</v>
      </c>
      <c r="B120" s="29">
        <f t="shared" si="25"/>
        <v>3732</v>
      </c>
      <c r="C120" s="29">
        <f t="shared" si="25"/>
        <v>1119.5999999999999</v>
      </c>
      <c r="D120" s="29">
        <f t="shared" si="25"/>
        <v>1866</v>
      </c>
      <c r="E120" s="29">
        <f t="shared" si="25"/>
        <v>2985.6</v>
      </c>
      <c r="F120" s="29">
        <f t="shared" si="25"/>
        <v>4478.3999999999996</v>
      </c>
      <c r="G120" s="12"/>
      <c r="H120" s="12" t="s">
        <v>216</v>
      </c>
      <c r="I120" s="12">
        <f>COUNTIFS('ADU Homeowner Survey 2025'!$AG:$AG,"2025",'ADU Homeowner Survey 2025'!$B:$B,"Marin County", 'ADU Homeowner Survey 2025'!$Q:$Q, "1",'ADU Homeowner Survey 2025'!$R:$R, "Not planning to use for housing")</f>
        <v>0</v>
      </c>
      <c r="J120" s="12">
        <f>COUNTIFS('ADU Homeowner Survey 2025'!$AG:$AG,"2025",'ADU Homeowner Survey 2025'!$B:$B,"Marin County", 'ADU Homeowner Survey 2025'!$Q:$Q, "1",'ADU Homeowner Survey 2025'!$R:$R, "Decline to state")</f>
        <v>1</v>
      </c>
      <c r="K120" s="12">
        <f>COUNTIFS('ADU Homeowner Survey 2025'!$AG:$AG,"2025",'ADU Homeowner Survey 2025'!$B:$B,"Marin County", 'ADU Homeowner Survey 2025'!$Q:$Q, "1",'ADU Homeowner Survey 2025'!$R:$R, "Not planning to charge rent")</f>
        <v>5</v>
      </c>
      <c r="L120" s="12">
        <f>COUNTIFS('ADU Homeowner Survey 2025'!$AG:$AG,"2025",'ADU Homeowner Survey 2025'!$B:$B,"Marin County", 'ADU Homeowner Survey 2025'!$Q:$Q, "1",'ADU Homeowner Survey 2025'!$R:$R, "$1 - $1,000")</f>
        <v>0</v>
      </c>
      <c r="M120" s="12">
        <f>COUNTIFS('ADU Homeowner Survey 2025'!$AG:$AG,"2025",'ADU Homeowner Survey 2025'!$B:$B,"Marin County", 'ADU Homeowner Survey 2025'!$Q:$Q, "1",'ADU Homeowner Survey 2025'!$R:$R, "$1,001 - $1,500")</f>
        <v>0</v>
      </c>
      <c r="N120" s="12">
        <f>COUNTIFS('ADU Homeowner Survey 2025'!$AG:$AG,"2025",'ADU Homeowner Survey 2025'!$B:$B,"Marin County", 'ADU Homeowner Survey 2025'!$Q:$Q, "1",'ADU Homeowner Survey 2025'!$R:$R, "$1,501 - $2,000")</f>
        <v>2</v>
      </c>
      <c r="O120" s="12">
        <f>COUNTIFS('ADU Homeowner Survey 2025'!$AG:$AG,"2025",'ADU Homeowner Survey 2025'!$B:$B,"Marin County", 'ADU Homeowner Survey 2025'!$Q:$Q, "1",'ADU Homeowner Survey 2025'!$R:$R, "$2,001 - $2,500")</f>
        <v>0</v>
      </c>
      <c r="P120" s="12">
        <f>COUNTIFS('ADU Homeowner Survey 2025'!$AG:$AG,"2025",'ADU Homeowner Survey 2025'!$B:$B,"Marin County", 'ADU Homeowner Survey 2025'!$Q:$Q, "1",'ADU Homeowner Survey 2025'!$R:$R, "$2,501 - $3,000")</f>
        <v>0</v>
      </c>
      <c r="Q120" s="12">
        <f>COUNTIFS('ADU Homeowner Survey 2025'!$AG:$AG,"2025",'ADU Homeowner Survey 2025'!$B:$B,"Marin County", 'ADU Homeowner Survey 2025'!$Q:$Q, "1",'ADU Homeowner Survey 2025'!$R:$R, "$3,001 - $3,500")</f>
        <v>1</v>
      </c>
      <c r="R120" s="12">
        <f>COUNTIFS('ADU Homeowner Survey 2025'!$AG:$AG,"2025",'ADU Homeowner Survey 2025'!$B:$B,"Marin County", 'ADU Homeowner Survey 2025'!$Q:$Q, "1",'ADU Homeowner Survey 2025'!$R:$R, "$3,501 - $4,000")</f>
        <v>0</v>
      </c>
      <c r="S120" s="12">
        <f>COUNTIFS('ADU Homeowner Survey 2025'!$AG:$AG,"2025",'ADU Homeowner Survey 2025'!$B:$B,"Marin County", 'ADU Homeowner Survey 2025'!$Q:$Q, "1",'ADU Homeowner Survey 2025'!$R:$R, "$4,001 - $4,500")</f>
        <v>0</v>
      </c>
      <c r="T120" s="12">
        <f>COUNTIFS('ADU Homeowner Survey 2025'!$AG:$AG,"2025",'ADU Homeowner Survey 2025'!$B:$B,"Marin County", 'ADU Homeowner Survey 2025'!$Q:$Q, "1",'ADU Homeowner Survey 2025'!$R:$R, "More than $4,500")</f>
        <v>0</v>
      </c>
      <c r="U120" s="24">
        <f t="shared" ref="U120:U123" si="26">SUM(I120:T120)</f>
        <v>9</v>
      </c>
    </row>
    <row r="121" spans="1:21" ht="15.5" x14ac:dyDescent="0.35">
      <c r="A121" s="16" t="s">
        <v>217</v>
      </c>
      <c r="B121" s="29">
        <f t="shared" si="25"/>
        <v>4198.5</v>
      </c>
      <c r="C121" s="29">
        <f t="shared" si="25"/>
        <v>1259.55</v>
      </c>
      <c r="D121" s="29">
        <f t="shared" si="25"/>
        <v>2099.25</v>
      </c>
      <c r="E121" s="29">
        <f t="shared" si="25"/>
        <v>3358.7999999999997</v>
      </c>
      <c r="F121" s="29">
        <f t="shared" si="25"/>
        <v>5038.2</v>
      </c>
      <c r="G121" s="12"/>
      <c r="H121" s="12" t="s">
        <v>217</v>
      </c>
      <c r="I121" s="12">
        <f>COUNTIFS('ADU Homeowner Survey 2025'!$AG:$AG,"2025",'ADU Homeowner Survey 2025'!$B:$B,"Marin County", 'ADU Homeowner Survey 2025'!$Q:$Q, "2",'ADU Homeowner Survey 2025'!$R:$R, "Not planning to use for housing")</f>
        <v>1</v>
      </c>
      <c r="J121" s="12">
        <f>COUNTIFS('ADU Homeowner Survey 2025'!$AG:$AG,"2025",'ADU Homeowner Survey 2025'!$B:$B,"Marin County", 'ADU Homeowner Survey 2025'!$Q:$Q, "2",'ADU Homeowner Survey 2025'!$R:$R, "Decline to state")</f>
        <v>0</v>
      </c>
      <c r="K121" s="12">
        <f>COUNTIFS('ADU Homeowner Survey 2025'!$AG:$AG,"2025",'ADU Homeowner Survey 2025'!$B:$B,"Marin County", 'ADU Homeowner Survey 2025'!$Q:$Q, "2",'ADU Homeowner Survey 2025'!$R:$R, "Not planning to charge rent")</f>
        <v>1</v>
      </c>
      <c r="L121" s="12">
        <f>COUNTIFS('ADU Homeowner Survey 2025'!$AG:$AG,"2025",'ADU Homeowner Survey 2025'!$B:$B,"Marin County", 'ADU Homeowner Survey 2025'!$Q:$Q, "2",'ADU Homeowner Survey 2025'!$R:$R, "$1 - $1,000")</f>
        <v>0</v>
      </c>
      <c r="M121" s="12">
        <f>COUNTIFS('ADU Homeowner Survey 2025'!$AG:$AG,"2025",'ADU Homeowner Survey 2025'!$B:$B,"Marin County", 'ADU Homeowner Survey 2025'!$Q:$Q, "2",'ADU Homeowner Survey 2025'!$R:$R, "$1,001 - $1,500")</f>
        <v>0</v>
      </c>
      <c r="N121" s="12">
        <f>COUNTIFS('ADU Homeowner Survey 2025'!$AG:$AG,"2025",'ADU Homeowner Survey 2025'!$B:$B,"Marin County", 'ADU Homeowner Survey 2025'!$Q:$Q, "2",'ADU Homeowner Survey 2025'!$R:$R, "$1,501 - $2,000")</f>
        <v>1</v>
      </c>
      <c r="O121" s="12">
        <f>COUNTIFS('ADU Homeowner Survey 2025'!$AG:$AG,"2025",'ADU Homeowner Survey 2025'!$B:$B,"Marin County", 'ADU Homeowner Survey 2025'!$Q:$Q, "2",'ADU Homeowner Survey 2025'!$R:$R, "$2,001 - $2,500")</f>
        <v>1</v>
      </c>
      <c r="P121" s="12">
        <f>COUNTIFS('ADU Homeowner Survey 2025'!$AG:$AG,"2025",'ADU Homeowner Survey 2025'!$B:$B,"Marin County", 'ADU Homeowner Survey 2025'!$Q:$Q, "2",'ADU Homeowner Survey 2025'!$R:$R, "$2,501 - $3,000")</f>
        <v>0</v>
      </c>
      <c r="Q121" s="12">
        <f>COUNTIFS('ADU Homeowner Survey 2025'!$AG:$AG,"2025",'ADU Homeowner Survey 2025'!$B:$B,"Marin County", 'ADU Homeowner Survey 2025'!$Q:$Q, "2",'ADU Homeowner Survey 2025'!$R:$R, "$3,001 - $3,500")</f>
        <v>0</v>
      </c>
      <c r="R121" s="12">
        <f>COUNTIFS('ADU Homeowner Survey 2025'!$AG:$AG,"2025",'ADU Homeowner Survey 2025'!$B:$B,"Marin County", 'ADU Homeowner Survey 2025'!$Q:$Q, "2",'ADU Homeowner Survey 2025'!$R:$R, "$3,501 - $4,000")</f>
        <v>0</v>
      </c>
      <c r="S121" s="12">
        <f>COUNTIFS('ADU Homeowner Survey 2025'!$AG:$AG,"2025",'ADU Homeowner Survey 2025'!$B:$B,"Marin County", 'ADU Homeowner Survey 2025'!$Q:$Q, "2",'ADU Homeowner Survey 2025'!$R:$R, "$4,001 - $4,500")</f>
        <v>0</v>
      </c>
      <c r="T121" s="12">
        <f>COUNTIFS('ADU Homeowner Survey 2025'!$AG:$AG,"2025",'ADU Homeowner Survey 2025'!$B:$B,"Marin County", 'ADU Homeowner Survey 2025'!$Q:$Q, "2",'ADU Homeowner Survey 2025'!$R:$R, "More than $4,500")</f>
        <v>0</v>
      </c>
      <c r="U121" s="24">
        <f t="shared" si="26"/>
        <v>4</v>
      </c>
    </row>
    <row r="122" spans="1:21" ht="15.5" x14ac:dyDescent="0.35">
      <c r="A122" s="16" t="s">
        <v>218</v>
      </c>
      <c r="B122" s="29">
        <f t="shared" si="25"/>
        <v>4665</v>
      </c>
      <c r="C122" s="29">
        <f t="shared" si="25"/>
        <v>1399.5</v>
      </c>
      <c r="D122" s="29">
        <f t="shared" si="25"/>
        <v>2332.5</v>
      </c>
      <c r="E122" s="29">
        <f t="shared" si="25"/>
        <v>3732</v>
      </c>
      <c r="F122" s="29">
        <f t="shared" si="25"/>
        <v>5598</v>
      </c>
      <c r="G122" s="12"/>
      <c r="H122" s="12" t="s">
        <v>221</v>
      </c>
      <c r="I122" s="12">
        <f>COUNTIFS('ADU Homeowner Survey 2025'!$AG:$AG,"2025",'ADU Homeowner Survey 2025'!$B:$B,"Marin County", 'ADU Homeowner Survey 2025'!$Q:$Q, "3 or more",'ADU Homeowner Survey 2025'!$R:$R, "Not planning to use for housing")</f>
        <v>0</v>
      </c>
      <c r="J122" s="12">
        <f>COUNTIFS('ADU Homeowner Survey 2025'!$AG:$AG,"2025",'ADU Homeowner Survey 2025'!$B:$B,"Marin County", 'ADU Homeowner Survey 2025'!$Q:$Q, "3 or more",'ADU Homeowner Survey 2025'!$R:$R, "Decline to state")</f>
        <v>0</v>
      </c>
      <c r="K122" s="12">
        <f>COUNTIFS('ADU Homeowner Survey 2025'!$AG:$AG,"2025",'ADU Homeowner Survey 2025'!$B:$B,"Marin County", 'ADU Homeowner Survey 2025'!$Q:$Q, "3 or more",'ADU Homeowner Survey 2025'!$R:$R, "Not planning to charge rent")</f>
        <v>0</v>
      </c>
      <c r="L122" s="12">
        <f>COUNTIFS('ADU Homeowner Survey 2025'!$AG:$AG,"2025",'ADU Homeowner Survey 2025'!$B:$B,"Marin County", 'ADU Homeowner Survey 2025'!$Q:$Q, "3 or more",'ADU Homeowner Survey 2025'!$R:$R, "$1 - $1,000")</f>
        <v>0</v>
      </c>
      <c r="M122" s="12">
        <f>COUNTIFS('ADU Homeowner Survey 2025'!$AG:$AG,"2025",'ADU Homeowner Survey 2025'!$B:$B,"Marin County", 'ADU Homeowner Survey 2025'!$Q:$Q, "3 or more",'ADU Homeowner Survey 2025'!$R:$R, "$1,001 - $1,500")</f>
        <v>0</v>
      </c>
      <c r="N122" s="12">
        <f>COUNTIFS('ADU Homeowner Survey 2025'!$AG:$AG,"2025",'ADU Homeowner Survey 2025'!$B:$B,"Marin County", 'ADU Homeowner Survey 2025'!$Q:$Q, "3 or more",'ADU Homeowner Survey 2025'!$R:$R, "$1,501 - $2,000")</f>
        <v>0</v>
      </c>
      <c r="O122" s="12">
        <f>COUNTIFS('ADU Homeowner Survey 2025'!$AG:$AG,"2025",'ADU Homeowner Survey 2025'!$B:$B,"Marin County", 'ADU Homeowner Survey 2025'!$Q:$Q, "3 or more",'ADU Homeowner Survey 2025'!$R:$R, "$2,001 - $2,500")</f>
        <v>0</v>
      </c>
      <c r="P122" s="12">
        <f>COUNTIFS('ADU Homeowner Survey 2025'!$AG:$AG,"2025",'ADU Homeowner Survey 2025'!$B:$B,"Marin County", 'ADU Homeowner Survey 2025'!$Q:$Q, "3 or more",'ADU Homeowner Survey 2025'!$R:$R, "$2,501 - $3,000")</f>
        <v>0</v>
      </c>
      <c r="Q122" s="12">
        <f>COUNTIFS('ADU Homeowner Survey 2025'!$AG:$AG,"2025",'ADU Homeowner Survey 2025'!$B:$B,"Marin County", 'ADU Homeowner Survey 2025'!$Q:$Q, "3 or more",'ADU Homeowner Survey 2025'!$R:$R, "$3,001 - $3,500")</f>
        <v>0</v>
      </c>
      <c r="R122" s="12">
        <f>COUNTIFS('ADU Homeowner Survey 2025'!$AG:$AG,"2025",'ADU Homeowner Survey 2025'!$B:$B,"Marin County", 'ADU Homeowner Survey 2025'!$Q:$Q, "3 or more",'ADU Homeowner Survey 2025'!$R:$R, "$3,501 - $4,000")</f>
        <v>0</v>
      </c>
      <c r="S122" s="12">
        <f>COUNTIFS('ADU Homeowner Survey 2025'!$AG:$AG,"2025",'ADU Homeowner Survey 2025'!$B:$B,"Marin County", 'ADU Homeowner Survey 2025'!$Q:$Q, "3 or more",'ADU Homeowner Survey 2025'!$R:$R, "$4,001 - $4,500")</f>
        <v>0</v>
      </c>
      <c r="T122" s="12">
        <f>COUNTIFS('ADU Homeowner Survey 2025'!$AG:$AG,"2025",'ADU Homeowner Survey 2025'!$B:$B,"Marin County", 'ADU Homeowner Survey 2025'!$Q:$Q, "3 or more",'ADU Homeowner Survey 2025'!$R:$R, "More than $4,500")</f>
        <v>0</v>
      </c>
      <c r="U122" s="24">
        <f t="shared" si="26"/>
        <v>0</v>
      </c>
    </row>
    <row r="123" spans="1:21" ht="15.5" x14ac:dyDescent="0.35">
      <c r="A123" s="16"/>
      <c r="B123" s="29"/>
      <c r="C123" s="29"/>
      <c r="D123" s="29"/>
      <c r="E123" s="29"/>
      <c r="F123" s="29"/>
      <c r="G123" s="12"/>
      <c r="H123" s="12" t="s">
        <v>222</v>
      </c>
      <c r="I123" s="12">
        <f>SUM(I119:I122)</f>
        <v>3</v>
      </c>
      <c r="J123" s="12">
        <f>SUM(J119:J122)</f>
        <v>1</v>
      </c>
      <c r="K123" s="12">
        <f t="shared" ref="K123:T123" si="27">SUM(K119:K122)</f>
        <v>9</v>
      </c>
      <c r="L123" s="12">
        <f t="shared" si="27"/>
        <v>0</v>
      </c>
      <c r="M123" s="12">
        <f t="shared" si="27"/>
        <v>2</v>
      </c>
      <c r="N123" s="12">
        <f t="shared" si="27"/>
        <v>3</v>
      </c>
      <c r="O123" s="12">
        <f t="shared" si="27"/>
        <v>1</v>
      </c>
      <c r="P123" s="12">
        <f t="shared" si="27"/>
        <v>0</v>
      </c>
      <c r="Q123" s="12">
        <f t="shared" si="27"/>
        <v>1</v>
      </c>
      <c r="R123" s="12">
        <f t="shared" si="27"/>
        <v>0</v>
      </c>
      <c r="S123" s="12">
        <f t="shared" si="27"/>
        <v>0</v>
      </c>
      <c r="T123" s="12">
        <f t="shared" si="27"/>
        <v>0</v>
      </c>
      <c r="U123" s="24">
        <f t="shared" si="26"/>
        <v>20</v>
      </c>
    </row>
    <row r="124" spans="1:21" ht="15.5" x14ac:dyDescent="0.35">
      <c r="A124" s="16"/>
      <c r="B124" s="29"/>
      <c r="C124" s="29"/>
      <c r="D124" s="29"/>
      <c r="E124" s="29"/>
      <c r="F124" s="29"/>
      <c r="G124" s="12"/>
      <c r="H124" s="12"/>
      <c r="I124" s="12"/>
      <c r="J124" s="12"/>
      <c r="K124" s="12"/>
      <c r="L124" s="12"/>
      <c r="M124" s="12"/>
      <c r="N124" s="12"/>
      <c r="O124" s="12"/>
      <c r="P124" s="12"/>
      <c r="Q124" s="12"/>
      <c r="R124" s="12"/>
      <c r="S124" s="12"/>
      <c r="T124" s="12"/>
      <c r="U124" s="24"/>
    </row>
    <row r="125" spans="1:21" ht="15.75" customHeight="1" x14ac:dyDescent="0.35">
      <c r="A125" s="16"/>
      <c r="B125" s="12"/>
      <c r="C125" s="12"/>
      <c r="D125" s="12"/>
      <c r="E125" s="12"/>
      <c r="F125" s="12"/>
      <c r="G125" s="12"/>
      <c r="H125" s="50" t="s">
        <v>226</v>
      </c>
      <c r="I125" s="47"/>
      <c r="J125" s="47"/>
      <c r="K125" s="47"/>
      <c r="L125" s="47"/>
      <c r="M125" s="47"/>
      <c r="N125" s="47"/>
      <c r="O125" s="47"/>
      <c r="P125" s="47"/>
      <c r="Q125" s="47"/>
      <c r="R125" s="12"/>
      <c r="S125" s="12"/>
      <c r="T125" s="12"/>
      <c r="U125" s="24"/>
    </row>
    <row r="126" spans="1:21" ht="15.5" x14ac:dyDescent="0.35">
      <c r="A126" s="25" t="s">
        <v>220</v>
      </c>
      <c r="B126" s="12"/>
      <c r="C126" s="12"/>
      <c r="D126" s="12"/>
      <c r="E126" s="12"/>
      <c r="F126" s="12"/>
      <c r="G126" s="12"/>
      <c r="H126" s="47"/>
      <c r="I126" s="47"/>
      <c r="J126" s="47"/>
      <c r="K126" s="47"/>
      <c r="L126" s="47"/>
      <c r="M126" s="47"/>
      <c r="N126" s="47"/>
      <c r="O126" s="47"/>
      <c r="P126" s="47"/>
      <c r="Q126" s="47"/>
      <c r="R126" s="12"/>
      <c r="S126" s="12"/>
      <c r="T126" s="12"/>
      <c r="U126" s="24"/>
    </row>
    <row r="127" spans="1:21" ht="15.5" x14ac:dyDescent="0.35">
      <c r="A127" s="16"/>
      <c r="B127" s="12" t="s">
        <v>215</v>
      </c>
      <c r="C127" s="12" t="s">
        <v>208</v>
      </c>
      <c r="D127" s="12" t="s">
        <v>209</v>
      </c>
      <c r="E127" s="12" t="s">
        <v>210</v>
      </c>
      <c r="F127" s="12" t="s">
        <v>211</v>
      </c>
      <c r="G127" s="12"/>
      <c r="H127" s="12"/>
      <c r="I127" s="12" t="s">
        <v>76</v>
      </c>
      <c r="J127" s="12" t="s">
        <v>165</v>
      </c>
      <c r="K127" s="12" t="s">
        <v>208</v>
      </c>
      <c r="L127" s="12" t="s">
        <v>223</v>
      </c>
      <c r="M127" s="12" t="s">
        <v>210</v>
      </c>
      <c r="N127" s="12" t="s">
        <v>211</v>
      </c>
      <c r="O127" s="12" t="s">
        <v>224</v>
      </c>
      <c r="P127" s="12"/>
      <c r="Q127" s="12"/>
      <c r="R127" s="12"/>
      <c r="S127" s="12"/>
      <c r="T127" s="12"/>
      <c r="U127" s="24"/>
    </row>
    <row r="128" spans="1:21" ht="15.5" x14ac:dyDescent="0.35">
      <c r="A128" s="16" t="s">
        <v>42</v>
      </c>
      <c r="B128" s="29" t="s">
        <v>71</v>
      </c>
      <c r="C128" s="29" t="s">
        <v>67</v>
      </c>
      <c r="D128" s="29" t="s">
        <v>69</v>
      </c>
      <c r="E128" s="29" t="s">
        <v>71</v>
      </c>
      <c r="F128" s="29" t="s">
        <v>73</v>
      </c>
      <c r="G128" s="12"/>
      <c r="H128" s="12" t="s">
        <v>42</v>
      </c>
      <c r="I128" s="12">
        <f>I119</f>
        <v>2</v>
      </c>
      <c r="J128" s="35">
        <f>J119</f>
        <v>0</v>
      </c>
      <c r="K128" s="35">
        <f>K119</f>
        <v>3</v>
      </c>
      <c r="L128" s="35">
        <f>M119</f>
        <v>2</v>
      </c>
      <c r="M128" s="35">
        <v>0</v>
      </c>
      <c r="N128" s="35">
        <v>0</v>
      </c>
      <c r="O128" s="35">
        <v>0</v>
      </c>
      <c r="P128" s="35">
        <f>SUM(I128:O128)</f>
        <v>7</v>
      </c>
      <c r="Q128" s="12"/>
      <c r="R128" s="12"/>
      <c r="S128" s="12"/>
      <c r="T128" s="12"/>
      <c r="U128" s="24"/>
    </row>
    <row r="129" spans="1:21" ht="15.5" x14ac:dyDescent="0.35">
      <c r="A129" s="16" t="s">
        <v>216</v>
      </c>
      <c r="B129" s="29" t="s">
        <v>73</v>
      </c>
      <c r="C129" s="29" t="s">
        <v>68</v>
      </c>
      <c r="D129" s="29" t="s">
        <v>69</v>
      </c>
      <c r="E129" s="29" t="s">
        <v>71</v>
      </c>
      <c r="F129" s="29" t="s">
        <v>74</v>
      </c>
      <c r="G129" s="12"/>
      <c r="H129" s="12" t="s">
        <v>216</v>
      </c>
      <c r="I129" s="12">
        <f t="shared" ref="I129:J131" si="28">I120</f>
        <v>0</v>
      </c>
      <c r="J129" s="35">
        <f t="shared" si="28"/>
        <v>1</v>
      </c>
      <c r="K129" s="35">
        <f>K120+L120+M120*N100</f>
        <v>5</v>
      </c>
      <c r="L129" s="35">
        <f>M120*N101+N120*N102</f>
        <v>1.4629258517034067</v>
      </c>
      <c r="M129" s="7">
        <f>N120*N103+O120+P120*N106</f>
        <v>0.53707414829659328</v>
      </c>
      <c r="N129" s="35">
        <f>P120*N107+Q120</f>
        <v>1</v>
      </c>
      <c r="O129" s="35">
        <v>0</v>
      </c>
      <c r="P129" s="35">
        <f t="shared" ref="P129:P132" si="29">SUM(I129:O129)</f>
        <v>9</v>
      </c>
      <c r="Q129" s="12"/>
      <c r="R129" s="12"/>
      <c r="S129" s="12"/>
      <c r="T129" s="12"/>
      <c r="U129" s="24"/>
    </row>
    <row r="130" spans="1:21" ht="15.5" x14ac:dyDescent="0.35">
      <c r="A130" s="16" t="s">
        <v>217</v>
      </c>
      <c r="B130" s="29" t="s">
        <v>74</v>
      </c>
      <c r="C130" s="29" t="s">
        <v>68</v>
      </c>
      <c r="D130" s="29" t="s">
        <v>70</v>
      </c>
      <c r="E130" s="29" t="s">
        <v>72</v>
      </c>
      <c r="F130" s="29" t="s">
        <v>75</v>
      </c>
      <c r="G130" s="12"/>
      <c r="H130" s="12" t="s">
        <v>217</v>
      </c>
      <c r="I130" s="12">
        <f t="shared" si="28"/>
        <v>1</v>
      </c>
      <c r="J130" s="35">
        <f t="shared" si="28"/>
        <v>0</v>
      </c>
      <c r="K130" s="35">
        <f>K121+L121+M121*P100</f>
        <v>1</v>
      </c>
      <c r="L130" s="35">
        <f>N121*N102</f>
        <v>0.73146292585170336</v>
      </c>
      <c r="M130" s="35">
        <f>N121*N103+O121</f>
        <v>1.2685370741482966</v>
      </c>
      <c r="N130" s="35">
        <v>0</v>
      </c>
      <c r="O130" s="35">
        <v>0</v>
      </c>
      <c r="P130" s="35">
        <f t="shared" si="29"/>
        <v>4</v>
      </c>
      <c r="Q130" s="12"/>
      <c r="R130" s="12"/>
      <c r="S130" s="12"/>
      <c r="T130" s="12"/>
      <c r="U130" s="24"/>
    </row>
    <row r="131" spans="1:21" ht="15.5" x14ac:dyDescent="0.35">
      <c r="A131" s="16" t="s">
        <v>218</v>
      </c>
      <c r="B131" s="29" t="s">
        <v>75</v>
      </c>
      <c r="C131" s="29" t="s">
        <v>68</v>
      </c>
      <c r="D131" s="29" t="s">
        <v>70</v>
      </c>
      <c r="E131" s="29" t="s">
        <v>73</v>
      </c>
      <c r="F131" s="29" t="s">
        <v>75</v>
      </c>
      <c r="G131" s="12"/>
      <c r="H131" s="12" t="s">
        <v>221</v>
      </c>
      <c r="I131" s="12">
        <f t="shared" si="28"/>
        <v>0</v>
      </c>
      <c r="J131" s="35">
        <f t="shared" si="28"/>
        <v>0</v>
      </c>
      <c r="K131" s="35">
        <f>K122</f>
        <v>0</v>
      </c>
      <c r="L131" s="35">
        <v>0</v>
      </c>
      <c r="M131" s="35">
        <v>0</v>
      </c>
      <c r="N131" s="35">
        <v>0</v>
      </c>
      <c r="O131" s="35">
        <v>0</v>
      </c>
      <c r="P131" s="35">
        <f t="shared" si="29"/>
        <v>0</v>
      </c>
      <c r="Q131" s="12"/>
      <c r="R131" s="12"/>
      <c r="S131" s="12"/>
      <c r="T131" s="12"/>
      <c r="U131" s="24"/>
    </row>
    <row r="132" spans="1:21" ht="15.5" x14ac:dyDescent="0.35">
      <c r="A132" s="16"/>
      <c r="B132" s="29"/>
      <c r="C132" s="29"/>
      <c r="D132" s="29"/>
      <c r="E132" s="29"/>
      <c r="F132" s="29"/>
      <c r="G132" s="12"/>
      <c r="H132" s="12" t="s">
        <v>227</v>
      </c>
      <c r="I132" s="12">
        <f>I123</f>
        <v>3</v>
      </c>
      <c r="J132" s="35">
        <f>SUM(J128:J131)</f>
        <v>1</v>
      </c>
      <c r="K132" s="35">
        <f t="shared" ref="K132:O132" si="30">SUM(K128:K131)</f>
        <v>9</v>
      </c>
      <c r="L132" s="35">
        <f t="shared" si="30"/>
        <v>4.1943887775551101</v>
      </c>
      <c r="M132" s="35">
        <f t="shared" si="30"/>
        <v>1.8056112224448899</v>
      </c>
      <c r="N132" s="35">
        <f t="shared" si="30"/>
        <v>1</v>
      </c>
      <c r="O132" s="35">
        <f t="shared" si="30"/>
        <v>0</v>
      </c>
      <c r="P132" s="35">
        <f t="shared" si="29"/>
        <v>20</v>
      </c>
      <c r="Q132" s="12"/>
      <c r="R132" s="12"/>
      <c r="S132" s="12"/>
      <c r="T132" s="12"/>
      <c r="U132" s="24"/>
    </row>
    <row r="133" spans="1:21" ht="16" thickBot="1" x14ac:dyDescent="0.4">
      <c r="A133" s="18"/>
      <c r="B133" s="26"/>
      <c r="C133" s="26"/>
      <c r="D133" s="26"/>
      <c r="E133" s="26"/>
      <c r="F133" s="26"/>
      <c r="G133" s="26"/>
      <c r="H133" s="26"/>
      <c r="I133" s="26"/>
      <c r="J133" s="26"/>
      <c r="K133" s="26"/>
      <c r="L133" s="26"/>
      <c r="M133" s="26"/>
      <c r="N133" s="26"/>
      <c r="O133" s="26"/>
      <c r="P133" s="26"/>
      <c r="Q133" s="26"/>
      <c r="R133" s="26"/>
      <c r="S133" s="26"/>
      <c r="T133" s="26"/>
      <c r="U133" s="27"/>
    </row>
    <row r="134" spans="1:21" ht="15" thickBot="1" x14ac:dyDescent="0.4"/>
    <row r="135" spans="1:21" ht="15.5" x14ac:dyDescent="0.35">
      <c r="A135" s="14" t="s">
        <v>148</v>
      </c>
      <c r="B135" s="20"/>
      <c r="C135" s="20"/>
      <c r="D135" s="20"/>
      <c r="E135" s="20"/>
      <c r="F135" s="20"/>
      <c r="G135" s="20"/>
      <c r="H135" s="20"/>
      <c r="I135" s="20"/>
      <c r="J135" s="20"/>
      <c r="K135" s="20"/>
      <c r="L135" s="20"/>
      <c r="M135" s="20"/>
      <c r="N135" s="20"/>
      <c r="O135" s="20"/>
      <c r="P135" s="20"/>
      <c r="Q135" s="20"/>
      <c r="R135" s="20"/>
      <c r="S135" s="20"/>
      <c r="T135" s="20"/>
      <c r="U135" s="21"/>
    </row>
    <row r="136" spans="1:21" ht="15.5" x14ac:dyDescent="0.35">
      <c r="A136" s="16"/>
      <c r="B136" s="12"/>
      <c r="C136" s="12"/>
      <c r="D136" s="12"/>
      <c r="E136" s="12"/>
      <c r="F136" s="12"/>
      <c r="G136" s="12"/>
      <c r="K136" s="5" t="s">
        <v>42</v>
      </c>
      <c r="L136" s="5" t="s">
        <v>42</v>
      </c>
      <c r="M136" s="5" t="s">
        <v>203</v>
      </c>
      <c r="N136" s="5" t="s">
        <v>203</v>
      </c>
      <c r="O136" s="5" t="s">
        <v>204</v>
      </c>
      <c r="P136" s="5" t="s">
        <v>204</v>
      </c>
      <c r="Q136" s="5" t="s">
        <v>205</v>
      </c>
      <c r="R136" s="5" t="s">
        <v>205</v>
      </c>
      <c r="S136" s="12"/>
      <c r="T136" s="12"/>
      <c r="U136" s="24"/>
    </row>
    <row r="137" spans="1:21" ht="15.5" x14ac:dyDescent="0.35">
      <c r="A137" s="16"/>
      <c r="B137" s="12"/>
      <c r="C137" s="12"/>
      <c r="D137" s="12"/>
      <c r="E137" s="12"/>
      <c r="F137" s="12"/>
      <c r="G137" s="12"/>
      <c r="J137" s="37"/>
      <c r="K137" s="37" t="s">
        <v>206</v>
      </c>
      <c r="L137" s="37" t="s">
        <v>207</v>
      </c>
      <c r="M137" s="37" t="s">
        <v>206</v>
      </c>
      <c r="N137" s="37" t="s">
        <v>207</v>
      </c>
      <c r="O137" s="37" t="s">
        <v>206</v>
      </c>
      <c r="P137" s="37" t="s">
        <v>207</v>
      </c>
      <c r="Q137" s="37" t="s">
        <v>206</v>
      </c>
      <c r="R137" s="37" t="s">
        <v>207</v>
      </c>
      <c r="S137" s="12"/>
      <c r="T137" s="12"/>
      <c r="U137" s="24"/>
    </row>
    <row r="138" spans="1:21" ht="15.5" x14ac:dyDescent="0.35">
      <c r="A138" s="16"/>
      <c r="B138" s="12"/>
      <c r="C138" s="12"/>
      <c r="D138" s="12"/>
      <c r="E138" s="12"/>
      <c r="F138" s="12"/>
      <c r="G138" s="12"/>
      <c r="J138" s="29" t="s">
        <v>67</v>
      </c>
      <c r="K138" s="12" t="s">
        <v>208</v>
      </c>
      <c r="L138" s="36">
        <f>C159/1000</f>
        <v>0.77017500000000005</v>
      </c>
      <c r="M138" s="12" t="s">
        <v>208</v>
      </c>
      <c r="N138" s="38">
        <f>C160/1000</f>
        <v>0.88019999999999998</v>
      </c>
      <c r="O138" s="36" t="s">
        <v>208</v>
      </c>
      <c r="P138" s="35">
        <f>C161/1000</f>
        <v>0.99022499999999991</v>
      </c>
      <c r="Q138" s="12" t="s">
        <v>208</v>
      </c>
      <c r="R138" s="35">
        <v>1</v>
      </c>
      <c r="S138" s="12"/>
      <c r="T138" s="12"/>
      <c r="U138" s="24"/>
    </row>
    <row r="139" spans="1:21" ht="15.5" x14ac:dyDescent="0.35">
      <c r="A139" s="16"/>
      <c r="B139" s="12"/>
      <c r="C139" s="12"/>
      <c r="D139" s="12"/>
      <c r="E139" s="12"/>
      <c r="F139" s="12"/>
      <c r="G139" s="12"/>
      <c r="J139" s="29" t="s">
        <v>67</v>
      </c>
      <c r="K139" s="12" t="s">
        <v>209</v>
      </c>
      <c r="L139" s="35">
        <f>1-L138</f>
        <v>0.22982499999999995</v>
      </c>
      <c r="M139" s="12" t="s">
        <v>209</v>
      </c>
      <c r="N139" s="38">
        <f>1-N138</f>
        <v>0.11980000000000002</v>
      </c>
      <c r="O139" s="35" t="s">
        <v>209</v>
      </c>
      <c r="P139" s="35">
        <f>1-P138</f>
        <v>9.7750000000000892E-3</v>
      </c>
      <c r="Q139" s="12" t="s">
        <v>208</v>
      </c>
      <c r="R139" s="35">
        <v>1</v>
      </c>
      <c r="S139" s="12"/>
      <c r="T139" s="12"/>
      <c r="U139" s="24"/>
    </row>
    <row r="140" spans="1:21" ht="15.5" x14ac:dyDescent="0.35">
      <c r="A140" s="16"/>
      <c r="B140" s="12"/>
      <c r="C140" s="12"/>
      <c r="D140" s="12"/>
      <c r="E140" s="12"/>
      <c r="F140" s="12"/>
      <c r="G140" s="12"/>
      <c r="J140" s="29" t="s">
        <v>68</v>
      </c>
      <c r="K140" s="12" t="s">
        <v>209</v>
      </c>
      <c r="L140" s="35">
        <f>(D159-1001)/499</f>
        <v>0.56638276553106215</v>
      </c>
      <c r="M140" s="38" t="s">
        <v>209</v>
      </c>
      <c r="N140" s="35">
        <f>(D160-1001)/499</f>
        <v>0.93386773547094193</v>
      </c>
      <c r="O140" s="35" t="s">
        <v>209</v>
      </c>
      <c r="P140" s="35">
        <v>1</v>
      </c>
      <c r="Q140" s="12" t="s">
        <v>208</v>
      </c>
      <c r="R140" s="35">
        <f>(C162-1001)/499</f>
        <v>0.19889779559118237</v>
      </c>
      <c r="S140" s="12"/>
      <c r="T140" s="12"/>
      <c r="U140" s="24"/>
    </row>
    <row r="141" spans="1:21" ht="15.5" x14ac:dyDescent="0.35">
      <c r="A141" s="16"/>
      <c r="B141" s="12"/>
      <c r="C141" s="12"/>
      <c r="D141" s="12"/>
      <c r="E141" s="12"/>
      <c r="F141" s="12"/>
      <c r="G141" s="12"/>
      <c r="J141" s="29" t="s">
        <v>68</v>
      </c>
      <c r="K141" s="12" t="s">
        <v>210</v>
      </c>
      <c r="L141" s="35">
        <f>1-L140</f>
        <v>0.43361723446893785</v>
      </c>
      <c r="M141" s="38" t="s">
        <v>210</v>
      </c>
      <c r="N141" s="35">
        <f>1-N140</f>
        <v>6.6132264529058071E-2</v>
      </c>
      <c r="O141" s="35" t="s">
        <v>209</v>
      </c>
      <c r="P141" s="35">
        <v>1</v>
      </c>
      <c r="Q141" s="12" t="s">
        <v>209</v>
      </c>
      <c r="R141" s="35">
        <f>1-R140</f>
        <v>0.80110220440881763</v>
      </c>
      <c r="S141" s="12"/>
      <c r="T141" s="12"/>
      <c r="U141" s="24"/>
    </row>
    <row r="142" spans="1:21" ht="15.5" x14ac:dyDescent="0.35">
      <c r="A142" s="16"/>
      <c r="B142" s="12"/>
      <c r="C142" s="12"/>
      <c r="D142" s="12"/>
      <c r="E142" s="12"/>
      <c r="F142" s="12"/>
      <c r="G142" s="12"/>
      <c r="J142" s="29" t="s">
        <v>69</v>
      </c>
      <c r="K142" s="12" t="s">
        <v>210</v>
      </c>
      <c r="L142" s="35">
        <v>1</v>
      </c>
      <c r="M142" s="38" t="s">
        <v>210</v>
      </c>
      <c r="N142" s="36">
        <v>1</v>
      </c>
      <c r="O142" s="12" t="s">
        <v>209</v>
      </c>
      <c r="P142" s="35">
        <f>(D161-1501)/499</f>
        <v>0.29934869739478959</v>
      </c>
      <c r="Q142" s="12" t="s">
        <v>209</v>
      </c>
      <c r="R142" s="35">
        <f>(D162-1501)/499</f>
        <v>0.66683366733466931</v>
      </c>
      <c r="S142" s="12"/>
      <c r="T142" s="12"/>
      <c r="U142" s="24"/>
    </row>
    <row r="143" spans="1:21" ht="15" customHeight="1" x14ac:dyDescent="0.35">
      <c r="A143" s="16"/>
      <c r="B143" s="12"/>
      <c r="C143" s="12"/>
      <c r="D143" s="12"/>
      <c r="E143" s="12"/>
      <c r="F143" s="12"/>
      <c r="G143" s="12"/>
      <c r="J143" s="29" t="s">
        <v>69</v>
      </c>
      <c r="K143" s="12" t="s">
        <v>210</v>
      </c>
      <c r="L143" s="35">
        <f>1</f>
        <v>1</v>
      </c>
      <c r="M143" s="38" t="s">
        <v>210</v>
      </c>
      <c r="N143" s="35">
        <v>1</v>
      </c>
      <c r="O143" s="12" t="s">
        <v>210</v>
      </c>
      <c r="P143" s="35">
        <f>1-P142</f>
        <v>0.70065130260521036</v>
      </c>
      <c r="Q143" s="12" t="s">
        <v>210</v>
      </c>
      <c r="R143" s="35">
        <f>1-R142</f>
        <v>0.33316633266533069</v>
      </c>
      <c r="S143" s="12"/>
      <c r="T143" s="12"/>
      <c r="U143" s="24"/>
    </row>
    <row r="144" spans="1:21" ht="15" customHeight="1" x14ac:dyDescent="0.35">
      <c r="A144" s="16"/>
      <c r="B144" s="12"/>
      <c r="C144" s="12"/>
      <c r="D144" s="12"/>
      <c r="E144" s="12"/>
      <c r="F144" s="12"/>
      <c r="G144" s="12"/>
      <c r="J144" s="29" t="s">
        <v>70</v>
      </c>
      <c r="K144" s="12" t="s">
        <v>210</v>
      </c>
      <c r="L144" s="36">
        <f>(E159-2001)/499</f>
        <v>0.10581162324649244</v>
      </c>
      <c r="M144" s="38" t="s">
        <v>210</v>
      </c>
      <c r="N144" s="35">
        <f>(E160-2001)/499</f>
        <v>0.69378757515030021</v>
      </c>
      <c r="O144" s="36" t="s">
        <v>210</v>
      </c>
      <c r="P144" s="35">
        <v>1</v>
      </c>
      <c r="Q144" s="12" t="s">
        <v>210</v>
      </c>
      <c r="R144" s="35">
        <v>1</v>
      </c>
      <c r="S144" s="12"/>
      <c r="T144" s="12"/>
      <c r="U144" s="24"/>
    </row>
    <row r="145" spans="1:21" ht="15" customHeight="1" x14ac:dyDescent="0.35">
      <c r="A145" s="16"/>
      <c r="B145" s="12"/>
      <c r="C145" s="12"/>
      <c r="D145" s="12"/>
      <c r="E145" s="12"/>
      <c r="F145" s="12"/>
      <c r="G145" s="12"/>
      <c r="J145" s="29" t="s">
        <v>70</v>
      </c>
      <c r="K145" s="12" t="s">
        <v>211</v>
      </c>
      <c r="L145" s="36">
        <f>1-L144</f>
        <v>0.8941883767535076</v>
      </c>
      <c r="M145" s="38" t="s">
        <v>211</v>
      </c>
      <c r="N145" s="35">
        <f>1-N144</f>
        <v>0.30621242484969979</v>
      </c>
      <c r="O145" s="36" t="s">
        <v>210</v>
      </c>
      <c r="P145" s="35">
        <v>1</v>
      </c>
      <c r="Q145" s="12" t="s">
        <v>210</v>
      </c>
      <c r="R145" s="35">
        <v>1</v>
      </c>
      <c r="S145" s="12"/>
      <c r="T145" s="12"/>
      <c r="U145" s="24"/>
    </row>
    <row r="146" spans="1:21" ht="15.5" x14ac:dyDescent="0.35">
      <c r="A146" s="16"/>
      <c r="B146" s="12"/>
      <c r="C146" s="12"/>
      <c r="D146" s="12"/>
      <c r="E146" s="12"/>
      <c r="F146" s="12"/>
      <c r="G146" s="12"/>
      <c r="J146" s="29" t="s">
        <v>71</v>
      </c>
      <c r="K146" s="12" t="s">
        <v>211</v>
      </c>
      <c r="L146" s="35">
        <v>1</v>
      </c>
      <c r="M146" s="38" t="s">
        <v>211</v>
      </c>
      <c r="N146" s="35">
        <v>1</v>
      </c>
      <c r="O146" s="12" t="s">
        <v>210</v>
      </c>
      <c r="P146" s="35">
        <f>(E161-2501)/499</f>
        <v>0.27975951903807594</v>
      </c>
      <c r="Q146" s="12" t="s">
        <v>210</v>
      </c>
      <c r="R146" s="35">
        <f>(E162-2501)/499</f>
        <v>0.86773547094188375</v>
      </c>
      <c r="S146" s="12"/>
      <c r="T146" s="12"/>
      <c r="U146" s="24"/>
    </row>
    <row r="147" spans="1:21" ht="15.5" x14ac:dyDescent="0.35">
      <c r="A147" s="16"/>
      <c r="B147" s="12"/>
      <c r="C147" s="12"/>
      <c r="D147" s="12"/>
      <c r="E147" s="12"/>
      <c r="F147" s="12"/>
      <c r="G147" s="12"/>
      <c r="J147" s="29" t="s">
        <v>71</v>
      </c>
      <c r="K147" s="12" t="s">
        <v>211</v>
      </c>
      <c r="L147" s="35">
        <v>1</v>
      </c>
      <c r="M147" s="38" t="s">
        <v>211</v>
      </c>
      <c r="N147" s="35">
        <v>1</v>
      </c>
      <c r="O147" s="12" t="s">
        <v>211</v>
      </c>
      <c r="P147" s="35">
        <f>1-P146</f>
        <v>0.72024048096192406</v>
      </c>
      <c r="Q147" s="12" t="s">
        <v>211</v>
      </c>
      <c r="R147" s="35">
        <f>1-R146</f>
        <v>0.13226452905811625</v>
      </c>
      <c r="S147" s="12"/>
      <c r="T147" s="12"/>
      <c r="U147" s="24"/>
    </row>
    <row r="148" spans="1:21" ht="15.5" x14ac:dyDescent="0.35">
      <c r="A148" s="22" t="s">
        <v>212</v>
      </c>
      <c r="B148" s="23">
        <f>'2025 Affordability Calcluations'!B5</f>
        <v>146700</v>
      </c>
      <c r="C148" s="12"/>
      <c r="D148" s="12"/>
      <c r="E148" s="12"/>
      <c r="F148" s="12"/>
      <c r="G148" s="12"/>
      <c r="J148" s="29" t="s">
        <v>72</v>
      </c>
      <c r="K148" s="12" t="s">
        <v>211</v>
      </c>
      <c r="L148" s="36">
        <f>(F159-3001)/499</f>
        <v>0.15971943887775605</v>
      </c>
      <c r="M148" s="38" t="s">
        <v>211</v>
      </c>
      <c r="N148" s="35">
        <v>1</v>
      </c>
      <c r="O148" s="36" t="s">
        <v>211</v>
      </c>
      <c r="P148" s="35">
        <v>1</v>
      </c>
      <c r="Q148" s="12" t="s">
        <v>211</v>
      </c>
      <c r="R148" s="35">
        <v>1</v>
      </c>
      <c r="S148" s="12"/>
      <c r="T148" s="12"/>
      <c r="U148" s="24"/>
    </row>
    <row r="149" spans="1:21" ht="15.5" x14ac:dyDescent="0.35">
      <c r="A149" s="25" t="s">
        <v>214</v>
      </c>
      <c r="B149" s="12"/>
      <c r="C149" s="12"/>
      <c r="D149" s="12"/>
      <c r="E149" s="12"/>
      <c r="F149" s="12"/>
      <c r="G149" s="12"/>
      <c r="J149" s="29" t="s">
        <v>72</v>
      </c>
      <c r="K149" s="12" t="s">
        <v>213</v>
      </c>
      <c r="L149" s="35">
        <f>1-L148</f>
        <v>0.84028056112224392</v>
      </c>
      <c r="M149" s="38" t="s">
        <v>211</v>
      </c>
      <c r="N149" s="35">
        <v>1</v>
      </c>
      <c r="O149" s="35" t="s">
        <v>211</v>
      </c>
      <c r="P149" s="35">
        <v>1</v>
      </c>
      <c r="Q149" s="12" t="s">
        <v>211</v>
      </c>
      <c r="R149" s="35">
        <v>1</v>
      </c>
      <c r="S149" s="12"/>
      <c r="T149" s="12"/>
      <c r="U149" s="24"/>
    </row>
    <row r="150" spans="1:21" ht="15.5" x14ac:dyDescent="0.35">
      <c r="A150" s="16"/>
      <c r="B150" s="12" t="s">
        <v>215</v>
      </c>
      <c r="C150" s="12" t="s">
        <v>208</v>
      </c>
      <c r="D150" s="12" t="s">
        <v>209</v>
      </c>
      <c r="E150" s="12" t="s">
        <v>210</v>
      </c>
      <c r="F150" s="12" t="s">
        <v>211</v>
      </c>
      <c r="G150" s="12"/>
      <c r="J150" s="29" t="s">
        <v>73</v>
      </c>
      <c r="K150" s="12" t="s">
        <v>213</v>
      </c>
      <c r="L150" s="35">
        <v>1</v>
      </c>
      <c r="M150" s="38" t="s">
        <v>211</v>
      </c>
      <c r="N150" s="36">
        <f>(F160-3501)/499</f>
        <v>3.9679358717434325E-2</v>
      </c>
      <c r="O150" s="12" t="s">
        <v>211</v>
      </c>
      <c r="P150" s="35">
        <f>(F161-3501)/499</f>
        <v>0.92164328657314554</v>
      </c>
      <c r="Q150" s="12" t="s">
        <v>211</v>
      </c>
      <c r="R150" s="35">
        <v>1</v>
      </c>
      <c r="S150" s="12"/>
      <c r="T150" s="12"/>
      <c r="U150" s="24"/>
    </row>
    <row r="151" spans="1:21" ht="15.5" x14ac:dyDescent="0.35">
      <c r="A151" s="16" t="s">
        <v>42</v>
      </c>
      <c r="B151" s="29">
        <f>B148*0.7</f>
        <v>102690</v>
      </c>
      <c r="C151" s="29">
        <f>B151*0.3</f>
        <v>30807</v>
      </c>
      <c r="D151" s="29">
        <f>B151*0.5</f>
        <v>51345</v>
      </c>
      <c r="E151" s="29">
        <f>B151*0.8</f>
        <v>82152</v>
      </c>
      <c r="F151" s="29">
        <f>B151*1.2</f>
        <v>123228</v>
      </c>
      <c r="G151" s="12"/>
      <c r="J151" s="29" t="s">
        <v>73</v>
      </c>
      <c r="K151" s="12" t="s">
        <v>213</v>
      </c>
      <c r="L151" s="35">
        <v>1</v>
      </c>
      <c r="M151" s="38" t="s">
        <v>213</v>
      </c>
      <c r="N151" s="35">
        <f>1-N150</f>
        <v>0.96032064128256567</v>
      </c>
      <c r="O151" s="12" t="s">
        <v>213</v>
      </c>
      <c r="P151" s="35">
        <f>1-P150</f>
        <v>7.8356713426854463E-2</v>
      </c>
      <c r="Q151" s="12" t="s">
        <v>211</v>
      </c>
      <c r="R151" s="35">
        <v>1</v>
      </c>
      <c r="S151" s="12"/>
      <c r="T151" s="12"/>
      <c r="U151" s="24"/>
    </row>
    <row r="152" spans="1:21" ht="15.5" x14ac:dyDescent="0.35">
      <c r="A152" s="16" t="s">
        <v>216</v>
      </c>
      <c r="B152" s="29">
        <f>B148*0.8</f>
        <v>117360</v>
      </c>
      <c r="C152" s="29">
        <f t="shared" ref="C152:C154" si="31">B152*0.3</f>
        <v>35208</v>
      </c>
      <c r="D152" s="29">
        <f t="shared" ref="D152:D154" si="32">B152*0.5</f>
        <v>58680</v>
      </c>
      <c r="E152" s="29">
        <f t="shared" ref="E152:E154" si="33">B152*0.8</f>
        <v>93888</v>
      </c>
      <c r="F152" s="29">
        <f t="shared" ref="F152:F154" si="34">B152*1.2</f>
        <v>140832</v>
      </c>
      <c r="G152" s="12"/>
      <c r="J152" s="29" t="s">
        <v>74</v>
      </c>
      <c r="K152" s="12" t="s">
        <v>213</v>
      </c>
      <c r="L152" s="35">
        <v>1</v>
      </c>
      <c r="M152" s="38" t="s">
        <v>213</v>
      </c>
      <c r="N152" s="35">
        <v>1</v>
      </c>
      <c r="O152" s="12" t="s">
        <v>213</v>
      </c>
      <c r="P152" s="35">
        <v>1</v>
      </c>
      <c r="Q152" s="12" t="s">
        <v>211</v>
      </c>
      <c r="R152" s="35">
        <f>(F162-4001)/499</f>
        <v>0.80160320641282568</v>
      </c>
      <c r="S152" s="12"/>
      <c r="T152" s="12"/>
      <c r="U152" s="24"/>
    </row>
    <row r="153" spans="1:21" ht="15.5" x14ac:dyDescent="0.35">
      <c r="A153" s="16" t="s">
        <v>217</v>
      </c>
      <c r="B153" s="29">
        <f>B148*0.9</f>
        <v>132030</v>
      </c>
      <c r="C153" s="29">
        <f t="shared" si="31"/>
        <v>39609</v>
      </c>
      <c r="D153" s="29">
        <f t="shared" si="32"/>
        <v>66015</v>
      </c>
      <c r="E153" s="29">
        <f t="shared" si="33"/>
        <v>105624</v>
      </c>
      <c r="F153" s="29">
        <f t="shared" si="34"/>
        <v>158436</v>
      </c>
      <c r="G153" s="12"/>
      <c r="J153" s="29" t="s">
        <v>74</v>
      </c>
      <c r="K153" s="12" t="s">
        <v>213</v>
      </c>
      <c r="L153" s="35">
        <v>1</v>
      </c>
      <c r="M153" s="38" t="s">
        <v>213</v>
      </c>
      <c r="N153" s="35">
        <v>1</v>
      </c>
      <c r="O153" s="12" t="s">
        <v>213</v>
      </c>
      <c r="P153" s="35">
        <v>1</v>
      </c>
      <c r="Q153" s="12" t="s">
        <v>213</v>
      </c>
      <c r="R153" s="35">
        <f>1-R152</f>
        <v>0.19839679358717432</v>
      </c>
      <c r="S153" s="12"/>
      <c r="T153" s="12"/>
      <c r="U153" s="24"/>
    </row>
    <row r="154" spans="1:21" ht="15.5" x14ac:dyDescent="0.35">
      <c r="A154" s="16" t="s">
        <v>218</v>
      </c>
      <c r="B154" s="29">
        <f>B148</f>
        <v>146700</v>
      </c>
      <c r="C154" s="29">
        <f t="shared" si="31"/>
        <v>44010</v>
      </c>
      <c r="D154" s="29">
        <f t="shared" si="32"/>
        <v>73350</v>
      </c>
      <c r="E154" s="29">
        <f t="shared" si="33"/>
        <v>117360</v>
      </c>
      <c r="F154" s="29">
        <f t="shared" si="34"/>
        <v>176040</v>
      </c>
      <c r="G154" s="12"/>
      <c r="J154" s="29" t="s">
        <v>75</v>
      </c>
      <c r="K154" s="12" t="s">
        <v>213</v>
      </c>
      <c r="L154" s="35">
        <v>1</v>
      </c>
      <c r="M154" s="38" t="s">
        <v>213</v>
      </c>
      <c r="N154" s="35">
        <v>1</v>
      </c>
      <c r="O154" s="12" t="s">
        <v>213</v>
      </c>
      <c r="P154" s="35">
        <v>1</v>
      </c>
      <c r="Q154" s="12" t="s">
        <v>213</v>
      </c>
      <c r="R154" s="35">
        <v>1</v>
      </c>
      <c r="S154" s="12"/>
      <c r="T154" s="12"/>
      <c r="U154" s="24"/>
    </row>
    <row r="155" spans="1:21" ht="15.5" x14ac:dyDescent="0.35">
      <c r="A155" s="16"/>
      <c r="B155" s="29"/>
      <c r="C155" s="29"/>
      <c r="D155" s="29"/>
      <c r="E155" s="29"/>
      <c r="F155" s="29"/>
      <c r="G155" s="12"/>
      <c r="J155" s="29"/>
      <c r="K155" s="12"/>
      <c r="L155" s="35"/>
      <c r="M155" s="38"/>
      <c r="N155" s="35"/>
      <c r="O155" s="12"/>
      <c r="P155" s="35"/>
      <c r="Q155" s="12"/>
      <c r="R155" s="35"/>
      <c r="S155" s="12"/>
      <c r="T155" s="12"/>
      <c r="U155" s="24"/>
    </row>
    <row r="156" spans="1:21" ht="15.75" customHeight="1" x14ac:dyDescent="0.35">
      <c r="A156" s="16"/>
      <c r="B156" s="12"/>
      <c r="C156" s="12"/>
      <c r="D156" s="12"/>
      <c r="E156" s="12"/>
      <c r="F156" s="12"/>
      <c r="G156" s="12"/>
      <c r="H156" s="50" t="s">
        <v>228</v>
      </c>
      <c r="I156" s="47"/>
      <c r="J156" s="47"/>
      <c r="K156" s="47"/>
      <c r="L156" s="47"/>
      <c r="M156" s="47"/>
      <c r="N156" s="47"/>
      <c r="O156" s="47"/>
      <c r="P156" s="47"/>
      <c r="Q156" s="47"/>
      <c r="R156" s="12"/>
      <c r="S156" s="12"/>
      <c r="T156" s="12"/>
      <c r="U156" s="24"/>
    </row>
    <row r="157" spans="1:21" ht="15.5" x14ac:dyDescent="0.35">
      <c r="A157" s="25" t="s">
        <v>220</v>
      </c>
      <c r="B157" s="12"/>
      <c r="C157" s="12"/>
      <c r="D157" s="12"/>
      <c r="E157" s="12"/>
      <c r="F157" s="12"/>
      <c r="G157" s="12"/>
      <c r="H157" s="47"/>
      <c r="I157" s="47"/>
      <c r="J157" s="47"/>
      <c r="K157" s="47"/>
      <c r="L157" s="47"/>
      <c r="M157" s="47"/>
      <c r="N157" s="47"/>
      <c r="O157" s="47"/>
      <c r="P157" s="47"/>
      <c r="Q157" s="47"/>
      <c r="R157" s="12"/>
      <c r="S157" s="12"/>
      <c r="T157" s="12"/>
      <c r="U157" s="24"/>
    </row>
    <row r="158" spans="1:21" ht="15.5" x14ac:dyDescent="0.35">
      <c r="A158" s="16"/>
      <c r="B158" s="12" t="s">
        <v>215</v>
      </c>
      <c r="C158" s="12" t="s">
        <v>208</v>
      </c>
      <c r="D158" s="12" t="s">
        <v>209</v>
      </c>
      <c r="E158" s="12" t="s">
        <v>210</v>
      </c>
      <c r="F158" s="12" t="s">
        <v>211</v>
      </c>
      <c r="G158" s="12"/>
      <c r="H158" s="12"/>
      <c r="I158" s="12" t="s">
        <v>76</v>
      </c>
      <c r="J158" s="12" t="s">
        <v>165</v>
      </c>
      <c r="K158" s="12" t="s">
        <v>79</v>
      </c>
      <c r="L158" s="29" t="s">
        <v>67</v>
      </c>
      <c r="M158" s="29" t="s">
        <v>68</v>
      </c>
      <c r="N158" s="29" t="s">
        <v>69</v>
      </c>
      <c r="O158" s="29" t="s">
        <v>70</v>
      </c>
      <c r="P158" s="29" t="s">
        <v>71</v>
      </c>
      <c r="Q158" s="29" t="s">
        <v>72</v>
      </c>
      <c r="R158" s="29" t="s">
        <v>73</v>
      </c>
      <c r="S158" s="29" t="s">
        <v>74</v>
      </c>
      <c r="T158" s="29" t="s">
        <v>75</v>
      </c>
      <c r="U158" s="24"/>
    </row>
    <row r="159" spans="1:21" ht="15.5" x14ac:dyDescent="0.35">
      <c r="A159" s="16" t="s">
        <v>42</v>
      </c>
      <c r="B159" s="29">
        <f t="shared" ref="B159:F162" si="35">B151*0.3/12</f>
        <v>2567.25</v>
      </c>
      <c r="C159" s="29">
        <f t="shared" si="35"/>
        <v>770.17500000000007</v>
      </c>
      <c r="D159" s="29">
        <f t="shared" si="35"/>
        <v>1283.625</v>
      </c>
      <c r="E159" s="29">
        <f t="shared" si="35"/>
        <v>2053.7999999999997</v>
      </c>
      <c r="F159" s="29">
        <f t="shared" si="35"/>
        <v>3080.7000000000003</v>
      </c>
      <c r="G159" s="12"/>
      <c r="H159" s="12" t="s">
        <v>42</v>
      </c>
      <c r="I159" s="12">
        <f>COUNTIFS('ADU Homeowner Survey 2025'!$AG:$AG,"2025",'ADU Homeowner Survey 2025'!$B:$B,"Napa County", 'ADU Homeowner Survey 2025'!$Q:$Q, "0 (studio)",'ADU Homeowner Survey 2025'!$R:$R, "Not planning to use for housing")</f>
        <v>0</v>
      </c>
      <c r="J159" s="12">
        <f>COUNTIFS('ADU Homeowner Survey 2025'!$AG:$AG,"2025",'ADU Homeowner Survey 2025'!$B:$B,"Napa County", 'ADU Homeowner Survey 2025'!$Q:$Q, "0 (studio)",'ADU Homeowner Survey 2025'!$R:$R, "Decline to state")</f>
        <v>0</v>
      </c>
      <c r="K159" s="12">
        <f>COUNTIFS('ADU Homeowner Survey 2025'!$AG:$AG,"2025",'ADU Homeowner Survey 2025'!$B:$B,"Napa County", 'ADU Homeowner Survey 2025'!$Q:$Q, "0 (studio)",'ADU Homeowner Survey 2025'!$R:$R, "Not planning to charge rent")</f>
        <v>1</v>
      </c>
      <c r="L159" s="12">
        <f>COUNTIFS('ADU Homeowner Survey 2025'!$AG:$AG,"2025",'ADU Homeowner Survey 2025'!$B:$B,"Napa County", 'ADU Homeowner Survey 2025'!$Q:$Q, "0 (studio)",'ADU Homeowner Survey 2025'!$R:$R, "$1 - $1,000")</f>
        <v>0</v>
      </c>
      <c r="M159" s="12">
        <f>COUNTIFS('ADU Homeowner Survey 2025'!$AG:$AG,"2025",'ADU Homeowner Survey 2025'!$B:$B,"Napa County", 'ADU Homeowner Survey 2025'!$Q:$Q, "0 (studio)",'ADU Homeowner Survey 2025'!$R:$R, "$1,001 - $1,500")</f>
        <v>0</v>
      </c>
      <c r="N159" s="12">
        <f>COUNTIFS('ADU Homeowner Survey 2025'!$AG:$AG,"2025",'ADU Homeowner Survey 2025'!$B:$B,"Napa County", 'ADU Homeowner Survey 2025'!$Q:$Q, "0 (studio)",'ADU Homeowner Survey 2025'!$R:$R, "$1,501 - $2,000")</f>
        <v>0</v>
      </c>
      <c r="O159" s="12">
        <f>COUNTIFS('ADU Homeowner Survey 2025'!$AG:$AG,"2025",'ADU Homeowner Survey 2025'!$B:$B,"Napa County", 'ADU Homeowner Survey 2025'!$Q:$Q, "0 (studio)",'ADU Homeowner Survey 2025'!$R:$R, "$2,001 - $2,500")</f>
        <v>0</v>
      </c>
      <c r="P159" s="12">
        <f>COUNTIFS('ADU Homeowner Survey 2025'!$AG:$AG,"2025",'ADU Homeowner Survey 2025'!$B:$B,"Napa County", 'ADU Homeowner Survey 2025'!$Q:$Q, "0 (studio)",'ADU Homeowner Survey 2025'!$R:$R, "$2,501 - $3,000")</f>
        <v>0</v>
      </c>
      <c r="Q159" s="12">
        <f>COUNTIFS('ADU Homeowner Survey 2025'!$AG:$AG,"2025",'ADU Homeowner Survey 2025'!$B:$B,"Napa County", 'ADU Homeowner Survey 2025'!$Q:$Q, "0 (studio)",'ADU Homeowner Survey 2025'!$R:$R, "$3,001 - $3,500")</f>
        <v>0</v>
      </c>
      <c r="R159" s="12">
        <f>COUNTIFS('ADU Homeowner Survey 2025'!$AG:$AG,"2025",'ADU Homeowner Survey 2025'!$B:$B,"Napa County", 'ADU Homeowner Survey 2025'!$Q:$Q, "0 (studio)",'ADU Homeowner Survey 2025'!$R:$R, "$3,501 - $4,000")</f>
        <v>0</v>
      </c>
      <c r="S159" s="12">
        <f>COUNTIFS('ADU Homeowner Survey 2025'!$AG:$AG,"2025",'ADU Homeowner Survey 2025'!$B:$B,"Napa County", 'ADU Homeowner Survey 2025'!$Q:$Q, "0 (studio)",'ADU Homeowner Survey 2025'!$R:$R, "$4,001 - $4,500")</f>
        <v>0</v>
      </c>
      <c r="T159" s="12">
        <f>COUNTIFS('ADU Homeowner Survey 2025'!$AG:$AG,"2025",'ADU Homeowner Survey 2025'!$B:$B,"Napa County", 'ADU Homeowner Survey 2025'!$Q:$Q, "0 (studio)",'ADU Homeowner Survey 2025'!$R:$R, "More than $4,500")</f>
        <v>0</v>
      </c>
      <c r="U159" s="24">
        <f>SUM(I159:T159)</f>
        <v>1</v>
      </c>
    </row>
    <row r="160" spans="1:21" ht="15.5" x14ac:dyDescent="0.35">
      <c r="A160" s="16" t="s">
        <v>216</v>
      </c>
      <c r="B160" s="29">
        <f t="shared" si="35"/>
        <v>2934</v>
      </c>
      <c r="C160" s="29">
        <f t="shared" si="35"/>
        <v>880.19999999999993</v>
      </c>
      <c r="D160" s="29">
        <f t="shared" si="35"/>
        <v>1467</v>
      </c>
      <c r="E160" s="29">
        <f t="shared" si="35"/>
        <v>2347.1999999999998</v>
      </c>
      <c r="F160" s="29">
        <f t="shared" si="35"/>
        <v>3520.7999999999997</v>
      </c>
      <c r="G160" s="12"/>
      <c r="H160" s="12" t="s">
        <v>216</v>
      </c>
      <c r="I160" s="12">
        <f>COUNTIFS('ADU Homeowner Survey 2025'!$AG:$AG,"2025",'ADU Homeowner Survey 2025'!$B:$B,"Napa County", 'ADU Homeowner Survey 2025'!$Q:$Q, "1",'ADU Homeowner Survey 2025'!$R:$R, "Not planning to use for housing")</f>
        <v>0</v>
      </c>
      <c r="J160" s="12">
        <f>COUNTIFS('ADU Homeowner Survey 2025'!$AG:$AG,"2025",'ADU Homeowner Survey 2025'!$B:$B,"Napa County", 'ADU Homeowner Survey 2025'!$Q:$Q, "1",'ADU Homeowner Survey 2025'!$R:$R, "Decline to state")</f>
        <v>0</v>
      </c>
      <c r="K160" s="12">
        <f>COUNTIFS('ADU Homeowner Survey 2025'!$AG:$AG,"2025",'ADU Homeowner Survey 2025'!$B:$B,"Napa County", 'ADU Homeowner Survey 2025'!$Q:$Q, "1",'ADU Homeowner Survey 2025'!$R:$R, "Not planning to charge rent")</f>
        <v>2</v>
      </c>
      <c r="L160" s="12">
        <f>COUNTIFS('ADU Homeowner Survey 2025'!$AG:$AG,"2025",'ADU Homeowner Survey 2025'!$B:$B,"Napa County", 'ADU Homeowner Survey 2025'!$Q:$Q, "1",'ADU Homeowner Survey 2025'!$R:$R, "$1 - $1,000")</f>
        <v>0</v>
      </c>
      <c r="M160" s="12">
        <f>COUNTIFS('ADU Homeowner Survey 2025'!$AG:$AG,"2025",'ADU Homeowner Survey 2025'!$B:$B,"Napa County", 'ADU Homeowner Survey 2025'!$Q:$Q, "1",'ADU Homeowner Survey 2025'!$R:$R, "$1,001 - $1,500")</f>
        <v>0</v>
      </c>
      <c r="N160" s="12">
        <f>COUNTIFS('ADU Homeowner Survey 2025'!$AG:$AG,"2025",'ADU Homeowner Survey 2025'!$B:$B,"Napa County", 'ADU Homeowner Survey 2025'!$Q:$Q, "1",'ADU Homeowner Survey 2025'!$R:$R, "$1,501 - $2,000")</f>
        <v>0</v>
      </c>
      <c r="O160" s="12">
        <f>COUNTIFS('ADU Homeowner Survey 2025'!$AG:$AG,"2025",'ADU Homeowner Survey 2025'!$B:$B,"Napa County", 'ADU Homeowner Survey 2025'!$Q:$Q, "1",'ADU Homeowner Survey 2025'!$R:$R, "$2,001 - $2,500")</f>
        <v>1</v>
      </c>
      <c r="P160" s="12">
        <f>COUNTIFS('ADU Homeowner Survey 2025'!$AG:$AG,"2025",'ADU Homeowner Survey 2025'!$B:$B,"Napa County", 'ADU Homeowner Survey 2025'!$Q:$Q, "1",'ADU Homeowner Survey 2025'!$R:$R, "$2,501 - $3,000")</f>
        <v>0</v>
      </c>
      <c r="Q160" s="12">
        <f>COUNTIFS('ADU Homeowner Survey 2025'!$AG:$AG,"2025",'ADU Homeowner Survey 2025'!$B:$B,"Napa County", 'ADU Homeowner Survey 2025'!$Q:$Q, "1",'ADU Homeowner Survey 2025'!$R:$R, "$3,001 - $3,500")</f>
        <v>0</v>
      </c>
      <c r="R160" s="12">
        <f>COUNTIFS('ADU Homeowner Survey 2025'!$AG:$AG,"2025",'ADU Homeowner Survey 2025'!$B:$B,"Napa County", 'ADU Homeowner Survey 2025'!$Q:$Q, "1",'ADU Homeowner Survey 2025'!$R:$R, "$3,501 - $4,000")</f>
        <v>0</v>
      </c>
      <c r="S160" s="12">
        <f>COUNTIFS('ADU Homeowner Survey 2025'!$AG:$AG,"2025",'ADU Homeowner Survey 2025'!$B:$B,"Napa County", 'ADU Homeowner Survey 2025'!$Q:$Q, "1",'ADU Homeowner Survey 2025'!$R:$R, "$4,001 - $4,500")</f>
        <v>0</v>
      </c>
      <c r="T160" s="12">
        <f>COUNTIFS('ADU Homeowner Survey 2025'!$AG:$AG,"2025",'ADU Homeowner Survey 2025'!$B:$B,"Napa County", 'ADU Homeowner Survey 2025'!$Q:$Q, "1",'ADU Homeowner Survey 2025'!$R:$R, "More than $4,500")</f>
        <v>0</v>
      </c>
      <c r="U160" s="24">
        <f t="shared" ref="U160:U163" si="36">SUM(I160:T160)</f>
        <v>3</v>
      </c>
    </row>
    <row r="161" spans="1:21" ht="15.5" x14ac:dyDescent="0.35">
      <c r="A161" s="16" t="s">
        <v>217</v>
      </c>
      <c r="B161" s="29">
        <f t="shared" si="35"/>
        <v>3300.75</v>
      </c>
      <c r="C161" s="29">
        <f t="shared" si="35"/>
        <v>990.22499999999991</v>
      </c>
      <c r="D161" s="29">
        <f t="shared" si="35"/>
        <v>1650.375</v>
      </c>
      <c r="E161" s="29">
        <f t="shared" si="35"/>
        <v>2640.6</v>
      </c>
      <c r="F161" s="29">
        <f t="shared" si="35"/>
        <v>3960.8999999999996</v>
      </c>
      <c r="G161" s="12"/>
      <c r="H161" s="12" t="s">
        <v>217</v>
      </c>
      <c r="I161" s="12">
        <f>COUNTIFS('ADU Homeowner Survey 2025'!$AG:$AG,"2025",'ADU Homeowner Survey 2025'!$B:$B,"Napa County", 'ADU Homeowner Survey 2025'!$Q:$Q, "2",'ADU Homeowner Survey 2025'!$R:$R, "Not planning to use for housing")</f>
        <v>0</v>
      </c>
      <c r="J161" s="12">
        <f>COUNTIFS('ADU Homeowner Survey 2025'!$AG:$AG,"2025",'ADU Homeowner Survey 2025'!$B:$B,"Napa County", 'ADU Homeowner Survey 2025'!$Q:$Q, "2",'ADU Homeowner Survey 2025'!$R:$R, "Decline to state")</f>
        <v>0</v>
      </c>
      <c r="K161" s="12">
        <f>COUNTIFS('ADU Homeowner Survey 2025'!$AG:$AG,"2025",'ADU Homeowner Survey 2025'!$B:$B,"Napa County", 'ADU Homeowner Survey 2025'!$Q:$Q, "2",'ADU Homeowner Survey 2025'!$R:$R, "Not planning to charge rent")</f>
        <v>0</v>
      </c>
      <c r="L161" s="12">
        <f>COUNTIFS('ADU Homeowner Survey 2025'!$AG:$AG,"2025",'ADU Homeowner Survey 2025'!$B:$B,"Napa County", 'ADU Homeowner Survey 2025'!$Q:$Q, "2",'ADU Homeowner Survey 2025'!$R:$R, "$1 - $1,000")</f>
        <v>0</v>
      </c>
      <c r="M161" s="12">
        <f>COUNTIFS('ADU Homeowner Survey 2025'!$AG:$AG,"2025",'ADU Homeowner Survey 2025'!$B:$B,"Napa County", 'ADU Homeowner Survey 2025'!$Q:$Q, "2",'ADU Homeowner Survey 2025'!$R:$R, "$1,001 - $1,500")</f>
        <v>0</v>
      </c>
      <c r="N161" s="12">
        <f>COUNTIFS('ADU Homeowner Survey 2025'!$AG:$AG,"2025",'ADU Homeowner Survey 2025'!$B:$B,"Napa County", 'ADU Homeowner Survey 2025'!$Q:$Q, "2",'ADU Homeowner Survey 2025'!$R:$R, "$1,501 - $2,000")</f>
        <v>0</v>
      </c>
      <c r="O161" s="12">
        <f>COUNTIFS('ADU Homeowner Survey 2025'!$AG:$AG,"2025",'ADU Homeowner Survey 2025'!$B:$B,"Napa County", 'ADU Homeowner Survey 2025'!$Q:$Q, "2",'ADU Homeowner Survey 2025'!$R:$R, "$2,001 - $2,500")</f>
        <v>0</v>
      </c>
      <c r="P161" s="12">
        <f>COUNTIFS('ADU Homeowner Survey 2025'!$AG:$AG,"2025",'ADU Homeowner Survey 2025'!$B:$B,"Napa County", 'ADU Homeowner Survey 2025'!$Q:$Q, "2",'ADU Homeowner Survey 2025'!$R:$R, "$2,501 - $3,000")</f>
        <v>0</v>
      </c>
      <c r="Q161" s="12">
        <f>COUNTIFS('ADU Homeowner Survey 2025'!$AG:$AG,"2025",'ADU Homeowner Survey 2025'!$B:$B,"Napa County", 'ADU Homeowner Survey 2025'!$Q:$Q, "2",'ADU Homeowner Survey 2025'!$R:$R, "$3,001 - $3,500")</f>
        <v>0</v>
      </c>
      <c r="R161" s="12">
        <f>COUNTIFS('ADU Homeowner Survey 2025'!$AG:$AG,"2025",'ADU Homeowner Survey 2025'!$B:$B,"Napa County", 'ADU Homeowner Survey 2025'!$Q:$Q, "2",'ADU Homeowner Survey 2025'!$R:$R, "$3,501 - $4,000")</f>
        <v>0</v>
      </c>
      <c r="S161" s="12">
        <f>COUNTIFS('ADU Homeowner Survey 2025'!$AG:$AG,"2025",'ADU Homeowner Survey 2025'!$B:$B,"Napa County", 'ADU Homeowner Survey 2025'!$Q:$Q, "2",'ADU Homeowner Survey 2025'!$R:$R, "$4,001 - $4,500")</f>
        <v>0</v>
      </c>
      <c r="T161" s="12">
        <f>COUNTIFS('ADU Homeowner Survey 2025'!$AG:$AG,"2025",'ADU Homeowner Survey 2025'!$B:$B,"Napa County", 'ADU Homeowner Survey 2025'!$Q:$Q, "2",'ADU Homeowner Survey 2025'!$R:$R, "More than $4,500")</f>
        <v>0</v>
      </c>
      <c r="U161" s="24">
        <f t="shared" si="36"/>
        <v>0</v>
      </c>
    </row>
    <row r="162" spans="1:21" ht="15.5" x14ac:dyDescent="0.35">
      <c r="A162" s="16" t="s">
        <v>218</v>
      </c>
      <c r="B162" s="29">
        <f t="shared" si="35"/>
        <v>3667.5</v>
      </c>
      <c r="C162" s="29">
        <f t="shared" si="35"/>
        <v>1100.25</v>
      </c>
      <c r="D162" s="29">
        <f t="shared" si="35"/>
        <v>1833.75</v>
      </c>
      <c r="E162" s="29">
        <f t="shared" si="35"/>
        <v>2934</v>
      </c>
      <c r="F162" s="29">
        <f t="shared" si="35"/>
        <v>4401</v>
      </c>
      <c r="G162" s="12"/>
      <c r="H162" s="12" t="s">
        <v>221</v>
      </c>
      <c r="I162" s="12">
        <f>COUNTIFS('ADU Homeowner Survey 2025'!$AG:$AG,"2025",'ADU Homeowner Survey 2025'!$B:$B,"Napa County", 'ADU Homeowner Survey 2025'!$Q:$Q, "3 or more",'ADU Homeowner Survey 2025'!$R:$R, "Not planning to use for housing")</f>
        <v>0</v>
      </c>
      <c r="J162" s="12">
        <f>COUNTIFS('ADU Homeowner Survey 2025'!$AG:$AG,"2025",'ADU Homeowner Survey 2025'!$B:$B,"Napa County", 'ADU Homeowner Survey 2025'!$Q:$Q, "3 or more",'ADU Homeowner Survey 2025'!$R:$R, "Decline to state")</f>
        <v>0</v>
      </c>
      <c r="K162" s="12">
        <f>COUNTIFS('ADU Homeowner Survey 2025'!$AG:$AG,"2025",'ADU Homeowner Survey 2025'!$B:$B,"Napa County", 'ADU Homeowner Survey 2025'!$Q:$Q, "3 or more",'ADU Homeowner Survey 2025'!$R:$R, "Not planning to charge rent")</f>
        <v>0</v>
      </c>
      <c r="L162" s="12">
        <f>COUNTIFS('ADU Homeowner Survey 2025'!$AG:$AG,"2025",'ADU Homeowner Survey 2025'!$B:$B,"Napa County", 'ADU Homeowner Survey 2025'!$Q:$Q, "3 or more",'ADU Homeowner Survey 2025'!$R:$R, "$1 - $1,000")</f>
        <v>0</v>
      </c>
      <c r="M162" s="12">
        <f>COUNTIFS('ADU Homeowner Survey 2025'!$AG:$AG,"2025",'ADU Homeowner Survey 2025'!$B:$B,"Napa County", 'ADU Homeowner Survey 2025'!$Q:$Q, "3 or more",'ADU Homeowner Survey 2025'!$R:$R, "$1,001 - $1,500")</f>
        <v>0</v>
      </c>
      <c r="N162" s="12">
        <f>COUNTIFS('ADU Homeowner Survey 2025'!$AG:$AG,"2025",'ADU Homeowner Survey 2025'!$B:$B,"Napa County", 'ADU Homeowner Survey 2025'!$Q:$Q, "3 or more",'ADU Homeowner Survey 2025'!$R:$R, "$1,501 - $2,000")</f>
        <v>0</v>
      </c>
      <c r="O162" s="12">
        <f>COUNTIFS('ADU Homeowner Survey 2025'!$AG:$AG,"2025",'ADU Homeowner Survey 2025'!$B:$B,"Napa County", 'ADU Homeowner Survey 2025'!$Q:$Q, "3 or more",'ADU Homeowner Survey 2025'!$R:$R, "$2,001 - $2,500")</f>
        <v>0</v>
      </c>
      <c r="P162" s="12">
        <f>COUNTIFS('ADU Homeowner Survey 2025'!$AG:$AG,"2025",'ADU Homeowner Survey 2025'!$B:$B,"Napa County", 'ADU Homeowner Survey 2025'!$Q:$Q, "3 or more",'ADU Homeowner Survey 2025'!$R:$R, "$2,501 - $3,000")</f>
        <v>0</v>
      </c>
      <c r="Q162" s="12">
        <f>COUNTIFS('ADU Homeowner Survey 2025'!$AG:$AG,"2025",'ADU Homeowner Survey 2025'!$B:$B,"Napa County", 'ADU Homeowner Survey 2025'!$Q:$Q, "3 or more",'ADU Homeowner Survey 2025'!$R:$R, "$3,001 - $3,500")</f>
        <v>0</v>
      </c>
      <c r="R162" s="12">
        <f>COUNTIFS('ADU Homeowner Survey 2025'!$AG:$AG,"2025",'ADU Homeowner Survey 2025'!$B:$B,"Napa County", 'ADU Homeowner Survey 2025'!$Q:$Q, "3 or more",'ADU Homeowner Survey 2025'!$R:$R, "$3,501 - $4,000")</f>
        <v>0</v>
      </c>
      <c r="S162" s="12">
        <f>COUNTIFS('ADU Homeowner Survey 2025'!$AG:$AG,"2025",'ADU Homeowner Survey 2025'!$B:$B,"Napa County", 'ADU Homeowner Survey 2025'!$Q:$Q, "3 or more",'ADU Homeowner Survey 2025'!$R:$R, "$4,001 - $4,500")</f>
        <v>0</v>
      </c>
      <c r="T162" s="12">
        <f>COUNTIFS('ADU Homeowner Survey 2025'!$AG:$AG,"2025",'ADU Homeowner Survey 2025'!$B:$B,"Napa County", 'ADU Homeowner Survey 2025'!$Q:$Q, "3 or more",'ADU Homeowner Survey 2025'!$R:$R, "More than $4,500")</f>
        <v>0</v>
      </c>
      <c r="U162" s="24">
        <f t="shared" si="36"/>
        <v>0</v>
      </c>
    </row>
    <row r="163" spans="1:21" ht="15.5" x14ac:dyDescent="0.35">
      <c r="A163" s="16"/>
      <c r="B163" s="29"/>
      <c r="C163" s="29"/>
      <c r="D163" s="29"/>
      <c r="E163" s="29"/>
      <c r="F163" s="29"/>
      <c r="G163" s="12"/>
      <c r="H163" s="12" t="s">
        <v>222</v>
      </c>
      <c r="I163" s="12">
        <f>SUM(I159:I162)</f>
        <v>0</v>
      </c>
      <c r="J163" s="12">
        <f>SUM(J159:J162)</f>
        <v>0</v>
      </c>
      <c r="K163" s="12">
        <f t="shared" ref="K163:T163" si="37">SUM(K159:K162)</f>
        <v>3</v>
      </c>
      <c r="L163" s="12">
        <f t="shared" si="37"/>
        <v>0</v>
      </c>
      <c r="M163" s="12">
        <f t="shared" si="37"/>
        <v>0</v>
      </c>
      <c r="N163" s="12">
        <f t="shared" si="37"/>
        <v>0</v>
      </c>
      <c r="O163" s="12">
        <f t="shared" si="37"/>
        <v>1</v>
      </c>
      <c r="P163" s="12">
        <f t="shared" si="37"/>
        <v>0</v>
      </c>
      <c r="Q163" s="12">
        <f t="shared" si="37"/>
        <v>0</v>
      </c>
      <c r="R163" s="12">
        <f t="shared" si="37"/>
        <v>0</v>
      </c>
      <c r="S163" s="12">
        <f t="shared" si="37"/>
        <v>0</v>
      </c>
      <c r="T163" s="12">
        <f t="shared" si="37"/>
        <v>0</v>
      </c>
      <c r="U163" s="24">
        <f t="shared" si="36"/>
        <v>4</v>
      </c>
    </row>
    <row r="164" spans="1:21" ht="15.5" x14ac:dyDescent="0.35">
      <c r="A164" s="16"/>
      <c r="B164" s="29"/>
      <c r="C164" s="29"/>
      <c r="D164" s="29"/>
      <c r="E164" s="29"/>
      <c r="F164" s="29"/>
      <c r="G164" s="12"/>
      <c r="H164" s="12"/>
      <c r="I164" s="12"/>
      <c r="J164" s="12"/>
      <c r="K164" s="12"/>
      <c r="L164" s="12"/>
      <c r="M164" s="12"/>
      <c r="N164" s="12"/>
      <c r="O164" s="12"/>
      <c r="P164" s="12"/>
      <c r="Q164" s="12"/>
      <c r="R164" s="12"/>
      <c r="S164" s="12"/>
      <c r="T164" s="12"/>
      <c r="U164" s="24"/>
    </row>
    <row r="165" spans="1:21" ht="15.75" customHeight="1" x14ac:dyDescent="0.35">
      <c r="A165" s="16"/>
      <c r="B165" s="12"/>
      <c r="C165" s="12"/>
      <c r="D165" s="12"/>
      <c r="E165" s="12"/>
      <c r="F165" s="12"/>
      <c r="G165" s="12"/>
      <c r="H165" s="52" t="s">
        <v>228</v>
      </c>
      <c r="I165" s="52"/>
      <c r="J165" s="52"/>
      <c r="K165" s="52"/>
      <c r="L165" s="52"/>
      <c r="M165" s="52"/>
      <c r="N165" s="52"/>
      <c r="O165" s="52"/>
      <c r="P165" s="52"/>
      <c r="Q165" s="52"/>
      <c r="R165" s="12"/>
      <c r="S165" s="12"/>
      <c r="T165" s="12"/>
      <c r="U165" s="24"/>
    </row>
    <row r="166" spans="1:21" ht="15.75" customHeight="1" x14ac:dyDescent="0.35">
      <c r="A166" s="25" t="s">
        <v>220</v>
      </c>
      <c r="B166" s="12"/>
      <c r="C166" s="12"/>
      <c r="D166" s="12"/>
      <c r="E166" s="12"/>
      <c r="F166" s="12"/>
      <c r="G166" s="12"/>
      <c r="H166" s="52"/>
      <c r="I166" s="52"/>
      <c r="J166" s="52"/>
      <c r="K166" s="52"/>
      <c r="L166" s="52"/>
      <c r="M166" s="52"/>
      <c r="N166" s="52"/>
      <c r="O166" s="52"/>
      <c r="P166" s="52"/>
      <c r="Q166" s="52"/>
      <c r="R166" s="12"/>
      <c r="S166" s="12"/>
      <c r="T166" s="12"/>
      <c r="U166" s="24"/>
    </row>
    <row r="167" spans="1:21" ht="15.5" x14ac:dyDescent="0.35">
      <c r="A167" s="16"/>
      <c r="B167" s="12" t="s">
        <v>215</v>
      </c>
      <c r="C167" s="12" t="s">
        <v>208</v>
      </c>
      <c r="D167" s="12" t="s">
        <v>209</v>
      </c>
      <c r="E167" s="12" t="s">
        <v>210</v>
      </c>
      <c r="F167" s="12" t="s">
        <v>211</v>
      </c>
      <c r="G167" s="12"/>
      <c r="H167" s="12"/>
      <c r="I167" s="12" t="s">
        <v>76</v>
      </c>
      <c r="J167" s="12" t="s">
        <v>165</v>
      </c>
      <c r="K167" s="12" t="s">
        <v>208</v>
      </c>
      <c r="L167" s="12" t="s">
        <v>223</v>
      </c>
      <c r="M167" s="12" t="s">
        <v>210</v>
      </c>
      <c r="N167" s="12" t="s">
        <v>211</v>
      </c>
      <c r="O167" s="12" t="s">
        <v>224</v>
      </c>
      <c r="P167" s="12"/>
      <c r="Q167" s="12"/>
      <c r="R167" s="12"/>
      <c r="S167" s="12"/>
      <c r="T167" s="12"/>
      <c r="U167" s="24"/>
    </row>
    <row r="168" spans="1:21" ht="15.5" x14ac:dyDescent="0.35">
      <c r="A168" s="16" t="s">
        <v>42</v>
      </c>
      <c r="B168" s="29" t="s">
        <v>71</v>
      </c>
      <c r="C168" s="29" t="s">
        <v>67</v>
      </c>
      <c r="D168" s="29" t="s">
        <v>68</v>
      </c>
      <c r="E168" s="29" t="s">
        <v>70</v>
      </c>
      <c r="F168" s="29" t="s">
        <v>72</v>
      </c>
      <c r="G168" s="12"/>
      <c r="H168" s="12" t="s">
        <v>42</v>
      </c>
      <c r="I168" s="12">
        <f>I159</f>
        <v>0</v>
      </c>
      <c r="J168" s="35">
        <f t="shared" ref="J168:K171" si="38">J159</f>
        <v>0</v>
      </c>
      <c r="K168" s="35">
        <f t="shared" si="38"/>
        <v>1</v>
      </c>
      <c r="L168" s="35">
        <v>0</v>
      </c>
      <c r="M168" s="35">
        <v>0</v>
      </c>
      <c r="N168" s="35">
        <v>0</v>
      </c>
      <c r="O168" s="35">
        <v>0</v>
      </c>
      <c r="P168" s="35">
        <f>SUM(I168:O168)</f>
        <v>1</v>
      </c>
      <c r="Q168" s="12"/>
      <c r="R168" s="12"/>
      <c r="S168" s="12"/>
      <c r="T168" s="12"/>
      <c r="U168" s="24"/>
    </row>
    <row r="169" spans="1:21" ht="15.5" x14ac:dyDescent="0.35">
      <c r="A169" s="16" t="s">
        <v>216</v>
      </c>
      <c r="B169" s="29" t="s">
        <v>71</v>
      </c>
      <c r="C169" s="29" t="s">
        <v>67</v>
      </c>
      <c r="D169" s="29" t="s">
        <v>68</v>
      </c>
      <c r="E169" s="29" t="s">
        <v>70</v>
      </c>
      <c r="F169" s="29" t="s">
        <v>73</v>
      </c>
      <c r="G169" s="12"/>
      <c r="H169" s="12" t="s">
        <v>216</v>
      </c>
      <c r="I169" s="12">
        <f t="shared" ref="I169:I172" si="39">I160</f>
        <v>0</v>
      </c>
      <c r="J169" s="35">
        <f t="shared" si="38"/>
        <v>0</v>
      </c>
      <c r="K169" s="35">
        <f t="shared" si="38"/>
        <v>2</v>
      </c>
      <c r="L169" s="35">
        <f>M160*N140</f>
        <v>0</v>
      </c>
      <c r="M169" s="7">
        <f>M160*N141+O160*N144</f>
        <v>0.69378757515030021</v>
      </c>
      <c r="N169" s="35">
        <f>O160*N145</f>
        <v>0.30621242484969979</v>
      </c>
      <c r="O169" s="35">
        <v>0</v>
      </c>
      <c r="P169" s="35">
        <f t="shared" ref="P169:P172" si="40">SUM(I169:O169)</f>
        <v>3</v>
      </c>
      <c r="Q169" s="12"/>
      <c r="R169" s="12"/>
      <c r="S169" s="12"/>
      <c r="T169" s="12"/>
      <c r="U169" s="24"/>
    </row>
    <row r="170" spans="1:21" ht="15.5" x14ac:dyDescent="0.35">
      <c r="A170" s="16" t="s">
        <v>217</v>
      </c>
      <c r="B170" s="29" t="s">
        <v>72</v>
      </c>
      <c r="C170" s="29" t="s">
        <v>67</v>
      </c>
      <c r="D170" s="29" t="s">
        <v>69</v>
      </c>
      <c r="E170" s="29" t="s">
        <v>71</v>
      </c>
      <c r="F170" s="29" t="s">
        <v>73</v>
      </c>
      <c r="G170" s="12"/>
      <c r="H170" s="12" t="s">
        <v>217</v>
      </c>
      <c r="I170" s="12">
        <f t="shared" si="39"/>
        <v>0</v>
      </c>
      <c r="J170" s="35">
        <f t="shared" si="38"/>
        <v>0</v>
      </c>
      <c r="K170" s="35">
        <f t="shared" si="38"/>
        <v>0</v>
      </c>
      <c r="L170" s="35">
        <v>0</v>
      </c>
      <c r="M170" s="35">
        <v>0</v>
      </c>
      <c r="N170" s="35">
        <v>0</v>
      </c>
      <c r="O170" s="35">
        <v>0</v>
      </c>
      <c r="P170" s="35">
        <f t="shared" si="40"/>
        <v>0</v>
      </c>
      <c r="Q170" s="12"/>
      <c r="R170" s="12"/>
      <c r="S170" s="12"/>
      <c r="T170" s="12"/>
      <c r="U170" s="24"/>
    </row>
    <row r="171" spans="1:21" ht="15.5" x14ac:dyDescent="0.35">
      <c r="A171" s="16" t="s">
        <v>218</v>
      </c>
      <c r="B171" s="29" t="s">
        <v>73</v>
      </c>
      <c r="C171" s="29" t="s">
        <v>68</v>
      </c>
      <c r="D171" s="29" t="s">
        <v>69</v>
      </c>
      <c r="E171" s="29" t="s">
        <v>71</v>
      </c>
      <c r="F171" s="29" t="s">
        <v>74</v>
      </c>
      <c r="G171" s="12"/>
      <c r="H171" s="12" t="s">
        <v>221</v>
      </c>
      <c r="I171" s="12">
        <f t="shared" si="39"/>
        <v>0</v>
      </c>
      <c r="J171" s="35">
        <f t="shared" si="38"/>
        <v>0</v>
      </c>
      <c r="K171" s="35">
        <f t="shared" si="38"/>
        <v>0</v>
      </c>
      <c r="L171" s="35">
        <v>0</v>
      </c>
      <c r="M171" s="35">
        <v>0</v>
      </c>
      <c r="N171" s="35">
        <v>0</v>
      </c>
      <c r="O171" s="35">
        <v>0</v>
      </c>
      <c r="P171" s="35">
        <f t="shared" si="40"/>
        <v>0</v>
      </c>
      <c r="Q171" s="12"/>
      <c r="R171" s="12"/>
      <c r="S171" s="12"/>
      <c r="T171" s="12"/>
      <c r="U171" s="24"/>
    </row>
    <row r="172" spans="1:21" ht="15.5" x14ac:dyDescent="0.35">
      <c r="A172" s="16"/>
      <c r="B172" s="29"/>
      <c r="C172" s="29"/>
      <c r="D172" s="29"/>
      <c r="E172" s="29"/>
      <c r="F172" s="29"/>
      <c r="G172" s="12"/>
      <c r="H172" s="12" t="s">
        <v>222</v>
      </c>
      <c r="I172" s="12">
        <f t="shared" si="39"/>
        <v>0</v>
      </c>
      <c r="J172" s="35">
        <f>SUM(J168:J171)</f>
        <v>0</v>
      </c>
      <c r="K172" s="35">
        <f t="shared" ref="K172:O172" si="41">SUM(K168:K171)</f>
        <v>3</v>
      </c>
      <c r="L172" s="35">
        <f t="shared" si="41"/>
        <v>0</v>
      </c>
      <c r="M172" s="35">
        <f t="shared" si="41"/>
        <v>0.69378757515030021</v>
      </c>
      <c r="N172" s="35">
        <f t="shared" si="41"/>
        <v>0.30621242484969979</v>
      </c>
      <c r="O172" s="35">
        <f t="shared" si="41"/>
        <v>0</v>
      </c>
      <c r="P172" s="35">
        <f t="shared" si="40"/>
        <v>4</v>
      </c>
      <c r="Q172" s="12"/>
      <c r="R172" s="12"/>
      <c r="S172" s="12"/>
      <c r="T172" s="12"/>
      <c r="U172" s="24"/>
    </row>
    <row r="173" spans="1:21" ht="16" thickBot="1" x14ac:dyDescent="0.4">
      <c r="A173" s="18"/>
      <c r="B173" s="26"/>
      <c r="C173" s="26"/>
      <c r="D173" s="26"/>
      <c r="E173" s="26"/>
      <c r="F173" s="26"/>
      <c r="G173" s="26"/>
      <c r="H173" s="26"/>
      <c r="I173" s="26"/>
      <c r="J173" s="26"/>
      <c r="K173" s="26"/>
      <c r="L173" s="26"/>
      <c r="M173" s="26"/>
      <c r="N173" s="26"/>
      <c r="O173" s="26"/>
      <c r="P173" s="26"/>
      <c r="Q173" s="26"/>
      <c r="R173" s="26"/>
      <c r="S173" s="26"/>
      <c r="T173" s="26"/>
      <c r="U173" s="27"/>
    </row>
    <row r="174" spans="1:21" ht="15.5" x14ac:dyDescent="0.35">
      <c r="A174" s="12"/>
      <c r="B174" s="12"/>
      <c r="C174" s="12"/>
      <c r="D174" s="12"/>
      <c r="E174" s="12"/>
      <c r="F174" s="12"/>
      <c r="G174" s="12"/>
      <c r="H174" s="12"/>
      <c r="I174" s="12"/>
      <c r="J174" s="12"/>
      <c r="K174" s="12"/>
      <c r="L174" s="12"/>
      <c r="M174" s="12"/>
      <c r="N174" s="12"/>
      <c r="O174" s="12"/>
      <c r="P174" s="12"/>
      <c r="Q174" s="12"/>
      <c r="R174" s="12"/>
      <c r="S174" s="12"/>
      <c r="T174" s="12"/>
      <c r="U174" s="12"/>
    </row>
    <row r="175" spans="1:21" ht="16" thickBot="1" x14ac:dyDescent="0.4">
      <c r="A175" s="12"/>
      <c r="B175" s="12"/>
      <c r="C175" s="12"/>
      <c r="D175" s="12"/>
      <c r="E175" s="12"/>
      <c r="F175" s="12"/>
      <c r="G175" s="12"/>
      <c r="H175" s="12"/>
      <c r="I175" s="12"/>
      <c r="J175" s="12"/>
      <c r="K175" s="12"/>
      <c r="L175" s="12"/>
      <c r="M175" s="12"/>
      <c r="N175" s="12"/>
      <c r="O175" s="12"/>
      <c r="P175" s="12"/>
      <c r="Q175" s="12"/>
      <c r="R175" s="12"/>
      <c r="S175" s="12"/>
      <c r="T175" s="12"/>
      <c r="U175" s="12"/>
    </row>
    <row r="176" spans="1:21" ht="15.5" x14ac:dyDescent="0.35">
      <c r="A176" s="14" t="s">
        <v>149</v>
      </c>
      <c r="B176" s="20"/>
      <c r="C176" s="20"/>
      <c r="D176" s="20"/>
      <c r="E176" s="20"/>
      <c r="F176" s="20"/>
      <c r="G176" s="20"/>
      <c r="H176" s="20"/>
      <c r="I176" s="20"/>
      <c r="J176" s="20"/>
      <c r="K176" s="20"/>
      <c r="L176" s="20"/>
      <c r="M176" s="20"/>
      <c r="N176" s="20"/>
      <c r="O176" s="20"/>
      <c r="P176" s="20"/>
      <c r="Q176" s="20"/>
      <c r="R176" s="20"/>
      <c r="S176" s="20"/>
      <c r="T176" s="20"/>
      <c r="U176" s="21"/>
    </row>
    <row r="177" spans="1:21" ht="15.5" x14ac:dyDescent="0.35">
      <c r="A177" s="16"/>
      <c r="B177" s="12"/>
      <c r="C177" s="12"/>
      <c r="D177" s="12"/>
      <c r="E177" s="12"/>
      <c r="F177" s="12"/>
      <c r="G177" s="12"/>
      <c r="K177" s="5" t="s">
        <v>42</v>
      </c>
      <c r="L177" s="5" t="s">
        <v>42</v>
      </c>
      <c r="M177" s="5" t="s">
        <v>203</v>
      </c>
      <c r="N177" s="5" t="s">
        <v>203</v>
      </c>
      <c r="O177" s="5" t="s">
        <v>204</v>
      </c>
      <c r="P177" s="5" t="s">
        <v>204</v>
      </c>
      <c r="Q177" s="5" t="s">
        <v>205</v>
      </c>
      <c r="R177" s="5" t="s">
        <v>205</v>
      </c>
      <c r="S177" s="12"/>
      <c r="T177" s="12"/>
      <c r="U177" s="24"/>
    </row>
    <row r="178" spans="1:21" ht="15.5" x14ac:dyDescent="0.35">
      <c r="A178" s="16"/>
      <c r="B178" s="12"/>
      <c r="C178" s="12"/>
      <c r="D178" s="12"/>
      <c r="E178" s="12"/>
      <c r="F178" s="12"/>
      <c r="G178" s="12"/>
      <c r="J178" s="37"/>
      <c r="K178" s="37" t="s">
        <v>206</v>
      </c>
      <c r="L178" s="37" t="s">
        <v>207</v>
      </c>
      <c r="M178" s="37" t="s">
        <v>206</v>
      </c>
      <c r="N178" s="37" t="s">
        <v>207</v>
      </c>
      <c r="O178" s="37" t="s">
        <v>206</v>
      </c>
      <c r="P178" s="37" t="s">
        <v>207</v>
      </c>
      <c r="Q178" s="37" t="s">
        <v>206</v>
      </c>
      <c r="R178" s="37" t="s">
        <v>207</v>
      </c>
      <c r="S178" s="12"/>
      <c r="T178" s="12"/>
      <c r="U178" s="24"/>
    </row>
    <row r="179" spans="1:21" ht="15.5" x14ac:dyDescent="0.35">
      <c r="A179" s="16"/>
      <c r="B179" s="12"/>
      <c r="C179" s="12"/>
      <c r="D179" s="12"/>
      <c r="E179" s="12"/>
      <c r="F179" s="12"/>
      <c r="G179" s="12"/>
      <c r="J179" s="29" t="s">
        <v>67</v>
      </c>
      <c r="K179" s="12" t="s">
        <v>208</v>
      </c>
      <c r="L179" s="36">
        <v>0.9796499999999998</v>
      </c>
      <c r="M179" s="38" t="s">
        <v>208</v>
      </c>
      <c r="N179" s="36">
        <v>1</v>
      </c>
      <c r="O179" s="36" t="s">
        <v>208</v>
      </c>
      <c r="P179" s="35">
        <v>1</v>
      </c>
      <c r="Q179" s="12" t="s">
        <v>208</v>
      </c>
      <c r="R179" s="35">
        <v>1</v>
      </c>
      <c r="S179" s="12"/>
      <c r="T179" s="12"/>
      <c r="U179" s="24"/>
    </row>
    <row r="180" spans="1:21" ht="15.5" x14ac:dyDescent="0.35">
      <c r="A180" s="16"/>
      <c r="B180" s="12"/>
      <c r="C180" s="12"/>
      <c r="D180" s="12"/>
      <c r="E180" s="12"/>
      <c r="F180" s="12"/>
      <c r="G180" s="12"/>
      <c r="J180" s="29" t="s">
        <v>67</v>
      </c>
      <c r="K180" s="12" t="s">
        <v>209</v>
      </c>
      <c r="L180" s="35">
        <v>2.0350000000000201E-2</v>
      </c>
      <c r="M180" s="38" t="s">
        <v>208</v>
      </c>
      <c r="N180" s="35">
        <v>1</v>
      </c>
      <c r="O180" s="36" t="s">
        <v>208</v>
      </c>
      <c r="P180" s="35">
        <v>1</v>
      </c>
      <c r="Q180" s="12" t="s">
        <v>208</v>
      </c>
      <c r="R180" s="35">
        <v>1</v>
      </c>
      <c r="S180" s="12"/>
      <c r="T180" s="12"/>
      <c r="U180" s="24"/>
    </row>
    <row r="181" spans="1:21" ht="15.5" x14ac:dyDescent="0.35">
      <c r="A181" s="16"/>
      <c r="B181" s="12"/>
      <c r="C181" s="12"/>
      <c r="D181" s="12"/>
      <c r="E181" s="12"/>
      <c r="F181" s="12"/>
      <c r="G181" s="12"/>
      <c r="J181" s="29" t="s">
        <v>68</v>
      </c>
      <c r="K181" s="12" t="s">
        <v>209</v>
      </c>
      <c r="L181" s="35">
        <v>1</v>
      </c>
      <c r="M181" s="35" t="s">
        <v>208</v>
      </c>
      <c r="N181" s="35">
        <v>0.23767535070140261</v>
      </c>
      <c r="O181" s="35" t="s">
        <v>208</v>
      </c>
      <c r="P181" s="35">
        <v>0.51813627254509009</v>
      </c>
      <c r="Q181" s="12" t="s">
        <v>208</v>
      </c>
      <c r="R181" s="35">
        <v>0.80060120240480959</v>
      </c>
      <c r="S181" s="12"/>
      <c r="T181" s="12"/>
      <c r="U181" s="24"/>
    </row>
    <row r="182" spans="1:21" ht="15.5" x14ac:dyDescent="0.35">
      <c r="A182" s="16"/>
      <c r="B182" s="12"/>
      <c r="C182" s="12"/>
      <c r="D182" s="12"/>
      <c r="E182" s="12"/>
      <c r="F182" s="12"/>
      <c r="G182" s="12"/>
      <c r="J182" s="29" t="s">
        <v>68</v>
      </c>
      <c r="K182" s="12" t="s">
        <v>209</v>
      </c>
      <c r="L182" s="35">
        <v>1</v>
      </c>
      <c r="M182" s="35" t="s">
        <v>209</v>
      </c>
      <c r="N182" s="35">
        <v>0.76232464929859733</v>
      </c>
      <c r="O182" s="35" t="s">
        <v>209</v>
      </c>
      <c r="P182" s="35">
        <v>0.48186372745490991</v>
      </c>
      <c r="Q182" s="12" t="s">
        <v>209</v>
      </c>
      <c r="R182" s="35">
        <v>0.19939879759519041</v>
      </c>
      <c r="S182" s="12"/>
      <c r="T182" s="12"/>
      <c r="U182" s="24"/>
    </row>
    <row r="183" spans="1:21" ht="15.5" x14ac:dyDescent="0.35">
      <c r="A183" s="16"/>
      <c r="B183" s="12"/>
      <c r="C183" s="12"/>
      <c r="D183" s="12"/>
      <c r="E183" s="12"/>
      <c r="F183" s="12"/>
      <c r="G183" s="12"/>
      <c r="J183" s="29" t="s">
        <v>69</v>
      </c>
      <c r="K183" s="12" t="s">
        <v>209</v>
      </c>
      <c r="L183" s="35">
        <v>0.26402805611222402</v>
      </c>
      <c r="M183" s="36" t="s">
        <v>209</v>
      </c>
      <c r="N183" s="35">
        <v>0.73146292585170336</v>
      </c>
      <c r="O183" s="35" t="s">
        <v>209</v>
      </c>
      <c r="P183" s="35">
        <v>1</v>
      </c>
      <c r="Q183" s="12" t="s">
        <v>209</v>
      </c>
      <c r="R183" s="35">
        <v>1</v>
      </c>
      <c r="S183" s="12"/>
      <c r="T183" s="12"/>
      <c r="U183" s="24"/>
    </row>
    <row r="184" spans="1:21" ht="15" customHeight="1" x14ac:dyDescent="0.35">
      <c r="A184" s="16"/>
      <c r="B184" s="12"/>
      <c r="C184" s="12"/>
      <c r="D184" s="12"/>
      <c r="E184" s="12"/>
      <c r="F184" s="12"/>
      <c r="G184" s="12"/>
      <c r="J184" s="29" t="s">
        <v>69</v>
      </c>
      <c r="K184" s="12" t="s">
        <v>210</v>
      </c>
      <c r="L184" s="35">
        <v>0.73597194388777598</v>
      </c>
      <c r="M184" s="35" t="s">
        <v>210</v>
      </c>
      <c r="N184" s="35">
        <v>0.26853707414829664</v>
      </c>
      <c r="O184" s="35" t="s">
        <v>209</v>
      </c>
      <c r="P184" s="35">
        <v>1</v>
      </c>
      <c r="Q184" s="12" t="s">
        <v>209</v>
      </c>
      <c r="R184" s="35">
        <v>1</v>
      </c>
      <c r="S184" s="12"/>
      <c r="T184" s="12"/>
      <c r="U184" s="24"/>
    </row>
    <row r="185" spans="1:21" ht="15" customHeight="1" x14ac:dyDescent="0.35">
      <c r="A185" s="16"/>
      <c r="B185" s="12"/>
      <c r="C185" s="12"/>
      <c r="D185" s="12"/>
      <c r="E185" s="12"/>
      <c r="F185" s="12"/>
      <c r="G185" s="12"/>
      <c r="J185" s="29" t="s">
        <v>70</v>
      </c>
      <c r="K185" s="12" t="s">
        <v>210</v>
      </c>
      <c r="L185" s="36">
        <v>1</v>
      </c>
      <c r="M185" s="35" t="s">
        <v>210</v>
      </c>
      <c r="N185" s="36">
        <v>1</v>
      </c>
      <c r="O185" s="35" t="s">
        <v>209</v>
      </c>
      <c r="P185" s="35">
        <v>0.1968937875751503</v>
      </c>
      <c r="Q185" s="12" t="s">
        <v>209</v>
      </c>
      <c r="R185" s="35">
        <v>0.66432865731462931</v>
      </c>
      <c r="S185" s="12"/>
      <c r="T185" s="12"/>
      <c r="U185" s="24"/>
    </row>
    <row r="186" spans="1:21" ht="15" customHeight="1" x14ac:dyDescent="0.35">
      <c r="A186" s="16"/>
      <c r="B186" s="12"/>
      <c r="C186" s="12"/>
      <c r="D186" s="12"/>
      <c r="E186" s="12"/>
      <c r="F186" s="12"/>
      <c r="G186" s="12"/>
      <c r="J186" s="29" t="s">
        <v>70</v>
      </c>
      <c r="K186" s="12" t="s">
        <v>210</v>
      </c>
      <c r="L186" s="36">
        <v>1</v>
      </c>
      <c r="M186" s="35" t="s">
        <v>210</v>
      </c>
      <c r="N186" s="36">
        <v>1</v>
      </c>
      <c r="O186" s="36" t="s">
        <v>210</v>
      </c>
      <c r="P186" s="35">
        <v>0.8031062124248497</v>
      </c>
      <c r="Q186" s="12" t="s">
        <v>210</v>
      </c>
      <c r="R186" s="35">
        <v>0.33567134268537069</v>
      </c>
      <c r="S186" s="12"/>
      <c r="T186" s="12"/>
      <c r="U186" s="24"/>
    </row>
    <row r="187" spans="1:21" ht="15.5" x14ac:dyDescent="0.35">
      <c r="A187" s="16"/>
      <c r="B187" s="12"/>
      <c r="C187" s="12"/>
      <c r="D187" s="12"/>
      <c r="E187" s="12"/>
      <c r="F187" s="12"/>
      <c r="G187" s="12"/>
      <c r="J187" s="29" t="s">
        <v>71</v>
      </c>
      <c r="K187" s="12" t="s">
        <v>210</v>
      </c>
      <c r="L187" s="35">
        <v>0.22324649298597213</v>
      </c>
      <c r="M187" s="35" t="s">
        <v>210</v>
      </c>
      <c r="N187" s="35">
        <v>0.97114228456913809</v>
      </c>
      <c r="O187" s="35" t="s">
        <v>210</v>
      </c>
      <c r="P187" s="35">
        <v>1</v>
      </c>
      <c r="Q187" s="12" t="s">
        <v>210</v>
      </c>
      <c r="R187" s="35">
        <v>1</v>
      </c>
      <c r="S187" s="12"/>
      <c r="T187" s="12"/>
      <c r="U187" s="24"/>
    </row>
    <row r="188" spans="1:21" ht="15.5" x14ac:dyDescent="0.35">
      <c r="A188" s="16"/>
      <c r="B188" s="12"/>
      <c r="C188" s="12"/>
      <c r="D188" s="12"/>
      <c r="E188" s="12"/>
      <c r="F188" s="12"/>
      <c r="G188" s="12"/>
      <c r="J188" s="29" t="s">
        <v>71</v>
      </c>
      <c r="K188" s="12" t="s">
        <v>211</v>
      </c>
      <c r="L188" s="35">
        <v>0.7767535070140279</v>
      </c>
      <c r="M188" s="35" t="s">
        <v>211</v>
      </c>
      <c r="N188" s="35">
        <v>2.8857715430861908E-2</v>
      </c>
      <c r="O188" s="35" t="s">
        <v>210</v>
      </c>
      <c r="P188" s="35">
        <v>1</v>
      </c>
      <c r="Q188" s="12" t="s">
        <v>210</v>
      </c>
      <c r="R188" s="35">
        <v>1</v>
      </c>
      <c r="S188" s="12"/>
      <c r="T188" s="12"/>
      <c r="U188" s="24"/>
    </row>
    <row r="189" spans="1:21" ht="15.5" x14ac:dyDescent="0.35">
      <c r="A189" s="22" t="s">
        <v>212</v>
      </c>
      <c r="B189" s="23">
        <f>'2025 Affordability Calcluations'!B7</f>
        <v>186600</v>
      </c>
      <c r="C189" s="12"/>
      <c r="D189" s="12"/>
      <c r="E189" s="12"/>
      <c r="F189" s="12"/>
      <c r="G189" s="12"/>
      <c r="J189" s="29" t="s">
        <v>72</v>
      </c>
      <c r="K189" s="12" t="s">
        <v>211</v>
      </c>
      <c r="L189" s="36">
        <v>1</v>
      </c>
      <c r="M189" s="35" t="s">
        <v>211</v>
      </c>
      <c r="N189" s="36">
        <v>1</v>
      </c>
      <c r="O189" s="36" t="s">
        <v>210</v>
      </c>
      <c r="P189" s="35">
        <v>0.71703406813627202</v>
      </c>
      <c r="Q189" s="12" t="s">
        <v>210</v>
      </c>
      <c r="R189" s="35">
        <v>1</v>
      </c>
      <c r="S189" s="12"/>
      <c r="T189" s="12"/>
      <c r="U189" s="24"/>
    </row>
    <row r="190" spans="1:21" ht="15.5" x14ac:dyDescent="0.35">
      <c r="A190" s="25" t="s">
        <v>214</v>
      </c>
      <c r="B190" s="12"/>
      <c r="C190" s="12"/>
      <c r="D190" s="12"/>
      <c r="E190" s="12"/>
      <c r="F190" s="12"/>
      <c r="G190" s="12"/>
      <c r="J190" s="29" t="s">
        <v>72</v>
      </c>
      <c r="K190" s="12" t="s">
        <v>211</v>
      </c>
      <c r="L190" s="35">
        <v>1</v>
      </c>
      <c r="M190" s="35" t="s">
        <v>211</v>
      </c>
      <c r="N190" s="35">
        <v>1</v>
      </c>
      <c r="O190" s="35" t="s">
        <v>211</v>
      </c>
      <c r="P190" s="35">
        <v>0.28296593186372798</v>
      </c>
      <c r="Q190" s="12" t="s">
        <v>210</v>
      </c>
      <c r="R190" s="35">
        <v>1</v>
      </c>
      <c r="S190" s="12"/>
      <c r="T190" s="12"/>
      <c r="U190" s="24"/>
    </row>
    <row r="191" spans="1:21" ht="15.5" x14ac:dyDescent="0.35">
      <c r="A191" s="16"/>
      <c r="B191" s="12" t="s">
        <v>215</v>
      </c>
      <c r="C191" s="12" t="s">
        <v>208</v>
      </c>
      <c r="D191" s="12" t="s">
        <v>209</v>
      </c>
      <c r="E191" s="12" t="s">
        <v>210</v>
      </c>
      <c r="F191" s="12" t="s">
        <v>211</v>
      </c>
      <c r="G191" s="12"/>
      <c r="J191" s="29" t="s">
        <v>73</v>
      </c>
      <c r="K191" s="12" t="s">
        <v>211</v>
      </c>
      <c r="L191" s="35">
        <v>0.836873747494988</v>
      </c>
      <c r="M191" s="36" t="s">
        <v>211</v>
      </c>
      <c r="N191" s="35">
        <v>1</v>
      </c>
      <c r="O191" s="12" t="s">
        <v>211</v>
      </c>
      <c r="P191" s="35">
        <v>1</v>
      </c>
      <c r="Q191" s="12" t="s">
        <v>210</v>
      </c>
      <c r="R191" s="35">
        <v>0.46292585170340683</v>
      </c>
      <c r="S191" s="12"/>
      <c r="T191" s="12"/>
      <c r="U191" s="24"/>
    </row>
    <row r="192" spans="1:21" ht="15.5" x14ac:dyDescent="0.35">
      <c r="A192" s="16" t="s">
        <v>42</v>
      </c>
      <c r="B192" s="29">
        <f t="shared" ref="B192" si="42">B189*0.7</f>
        <v>130619.99999999999</v>
      </c>
      <c r="C192" s="29">
        <f t="shared" ref="C192:C195" si="43">B192*0.3</f>
        <v>39185.999999999993</v>
      </c>
      <c r="D192" s="29">
        <f t="shared" ref="D192:D195" si="44">B192*0.5</f>
        <v>65309.999999999993</v>
      </c>
      <c r="E192" s="29">
        <f t="shared" ref="E192:E195" si="45">B192*0.8</f>
        <v>104496</v>
      </c>
      <c r="F192" s="29">
        <f t="shared" ref="F192:F195" si="46">B192*1.2</f>
        <v>156743.99999999997</v>
      </c>
      <c r="G192" s="12"/>
      <c r="J192" s="29" t="s">
        <v>73</v>
      </c>
      <c r="K192" s="12" t="s">
        <v>213</v>
      </c>
      <c r="L192" s="35">
        <v>0.163126252505012</v>
      </c>
      <c r="M192" s="35" t="s">
        <v>211</v>
      </c>
      <c r="N192" s="35">
        <v>1</v>
      </c>
      <c r="O192" s="12" t="s">
        <v>211</v>
      </c>
      <c r="P192" s="35">
        <v>1</v>
      </c>
      <c r="Q192" s="12" t="s">
        <v>211</v>
      </c>
      <c r="R192" s="35">
        <v>0.53707414829659317</v>
      </c>
      <c r="S192" s="12"/>
      <c r="T192" s="12"/>
      <c r="U192" s="24"/>
    </row>
    <row r="193" spans="1:21" ht="15.5" x14ac:dyDescent="0.35">
      <c r="A193" s="16" t="s">
        <v>216</v>
      </c>
      <c r="B193" s="29">
        <f t="shared" ref="B193" si="47">B189*0.8</f>
        <v>149280</v>
      </c>
      <c r="C193" s="29">
        <f t="shared" si="43"/>
        <v>44784</v>
      </c>
      <c r="D193" s="29">
        <f t="shared" si="44"/>
        <v>74640</v>
      </c>
      <c r="E193" s="29">
        <f t="shared" si="45"/>
        <v>119424</v>
      </c>
      <c r="F193" s="29">
        <f t="shared" si="46"/>
        <v>179136</v>
      </c>
      <c r="G193" s="12"/>
      <c r="J193" s="29" t="s">
        <v>74</v>
      </c>
      <c r="K193" s="12" t="s">
        <v>213</v>
      </c>
      <c r="L193" s="35">
        <v>1</v>
      </c>
      <c r="M193" s="35" t="s">
        <v>211</v>
      </c>
      <c r="N193" s="35">
        <v>1</v>
      </c>
      <c r="O193" s="12" t="s">
        <v>211</v>
      </c>
      <c r="P193" s="35">
        <v>1</v>
      </c>
      <c r="Q193" s="12" t="s">
        <v>211</v>
      </c>
      <c r="R193" s="35">
        <v>1</v>
      </c>
      <c r="S193" s="12"/>
      <c r="T193" s="12"/>
      <c r="U193" s="24"/>
    </row>
    <row r="194" spans="1:21" ht="15.5" x14ac:dyDescent="0.35">
      <c r="A194" s="16" t="s">
        <v>217</v>
      </c>
      <c r="B194" s="29">
        <f t="shared" ref="B194" si="48">B189*0.9</f>
        <v>167940</v>
      </c>
      <c r="C194" s="29">
        <f t="shared" si="43"/>
        <v>50382</v>
      </c>
      <c r="D194" s="29">
        <f t="shared" si="44"/>
        <v>83970</v>
      </c>
      <c r="E194" s="29">
        <f t="shared" si="45"/>
        <v>134352</v>
      </c>
      <c r="F194" s="29">
        <f t="shared" si="46"/>
        <v>201528</v>
      </c>
      <c r="G194" s="12"/>
      <c r="J194" s="29" t="s">
        <v>74</v>
      </c>
      <c r="K194" s="12" t="s">
        <v>213</v>
      </c>
      <c r="L194" s="35">
        <v>1</v>
      </c>
      <c r="M194" s="35" t="s">
        <v>211</v>
      </c>
      <c r="N194" s="35">
        <v>0.95671342685370664</v>
      </c>
      <c r="O194" s="12" t="s">
        <v>211</v>
      </c>
      <c r="P194" s="35">
        <v>1</v>
      </c>
      <c r="Q194" s="12" t="s">
        <v>211</v>
      </c>
      <c r="R194" s="35">
        <v>1</v>
      </c>
      <c r="S194" s="12"/>
      <c r="T194" s="12"/>
      <c r="U194" s="24"/>
    </row>
    <row r="195" spans="1:21" ht="15.5" x14ac:dyDescent="0.35">
      <c r="A195" s="16" t="s">
        <v>218</v>
      </c>
      <c r="B195" s="29">
        <f t="shared" ref="B195" si="49">B189</f>
        <v>186600</v>
      </c>
      <c r="C195" s="29">
        <f t="shared" si="43"/>
        <v>55980</v>
      </c>
      <c r="D195" s="29">
        <f t="shared" si="44"/>
        <v>93300</v>
      </c>
      <c r="E195" s="29">
        <f t="shared" si="45"/>
        <v>149280</v>
      </c>
      <c r="F195" s="29">
        <f t="shared" si="46"/>
        <v>223920</v>
      </c>
      <c r="G195" s="12"/>
      <c r="J195" s="29" t="s">
        <v>75</v>
      </c>
      <c r="K195" s="12" t="s">
        <v>213</v>
      </c>
      <c r="L195" s="35">
        <v>1</v>
      </c>
      <c r="M195" s="35" t="s">
        <v>213</v>
      </c>
      <c r="N195" s="35">
        <v>4.3286573146293361E-2</v>
      </c>
      <c r="O195" s="12" t="s">
        <v>211</v>
      </c>
      <c r="P195" s="35">
        <v>1</v>
      </c>
      <c r="Q195" s="12" t="s">
        <v>211</v>
      </c>
      <c r="R195" s="35">
        <v>1</v>
      </c>
      <c r="S195" s="12"/>
      <c r="T195" s="12"/>
      <c r="U195" s="24"/>
    </row>
    <row r="196" spans="1:21" ht="15.5" x14ac:dyDescent="0.35">
      <c r="A196" s="16"/>
      <c r="B196" s="29"/>
      <c r="C196" s="29"/>
      <c r="D196" s="29"/>
      <c r="E196" s="29"/>
      <c r="F196" s="29"/>
      <c r="G196" s="12"/>
      <c r="J196" s="29"/>
      <c r="K196" s="12"/>
      <c r="L196" s="35"/>
      <c r="M196" s="38"/>
      <c r="N196" s="35"/>
      <c r="O196" s="12"/>
      <c r="P196" s="35"/>
      <c r="Q196" s="12"/>
      <c r="R196" s="35"/>
      <c r="S196" s="12"/>
      <c r="T196" s="12"/>
      <c r="U196" s="24"/>
    </row>
    <row r="197" spans="1:21" ht="15.75" customHeight="1" x14ac:dyDescent="0.35">
      <c r="A197" s="16"/>
      <c r="B197" s="29"/>
      <c r="C197" s="29"/>
      <c r="D197" s="29"/>
      <c r="E197" s="29"/>
      <c r="F197" s="29"/>
      <c r="G197" s="12"/>
      <c r="H197" s="52" t="s">
        <v>229</v>
      </c>
      <c r="I197" s="51"/>
      <c r="J197" s="51"/>
      <c r="K197" s="51"/>
      <c r="L197" s="51"/>
      <c r="M197" s="51"/>
      <c r="N197" s="51"/>
      <c r="O197" s="51"/>
      <c r="P197" s="51"/>
      <c r="Q197" s="51"/>
      <c r="R197" s="12"/>
      <c r="S197" s="12"/>
      <c r="T197" s="12"/>
      <c r="U197" s="24"/>
    </row>
    <row r="198" spans="1:21" ht="15.5" x14ac:dyDescent="0.35">
      <c r="A198" s="25" t="s">
        <v>220</v>
      </c>
      <c r="B198" s="12"/>
      <c r="C198" s="12"/>
      <c r="D198" s="12"/>
      <c r="E198" s="12"/>
      <c r="F198" s="12"/>
      <c r="G198" s="12"/>
      <c r="H198" s="51"/>
      <c r="I198" s="51"/>
      <c r="J198" s="51"/>
      <c r="K198" s="51"/>
      <c r="L198" s="51"/>
      <c r="M198" s="51"/>
      <c r="N198" s="51"/>
      <c r="O198" s="51"/>
      <c r="P198" s="51"/>
      <c r="Q198" s="51"/>
      <c r="R198" s="12"/>
      <c r="S198" s="12"/>
      <c r="T198" s="12"/>
      <c r="U198" s="24"/>
    </row>
    <row r="199" spans="1:21" ht="15.5" x14ac:dyDescent="0.35">
      <c r="A199" s="16"/>
      <c r="B199" s="12" t="s">
        <v>215</v>
      </c>
      <c r="C199" s="12" t="s">
        <v>208</v>
      </c>
      <c r="D199" s="12" t="s">
        <v>209</v>
      </c>
      <c r="E199" s="12" t="s">
        <v>210</v>
      </c>
      <c r="F199" s="12" t="s">
        <v>211</v>
      </c>
      <c r="G199" s="12"/>
      <c r="H199" s="12"/>
      <c r="I199" s="12" t="s">
        <v>76</v>
      </c>
      <c r="J199" s="12" t="s">
        <v>165</v>
      </c>
      <c r="K199" s="12" t="s">
        <v>79</v>
      </c>
      <c r="L199" s="29" t="s">
        <v>67</v>
      </c>
      <c r="M199" s="29" t="s">
        <v>68</v>
      </c>
      <c r="N199" s="29" t="s">
        <v>69</v>
      </c>
      <c r="O199" s="29" t="s">
        <v>70</v>
      </c>
      <c r="P199" s="29" t="s">
        <v>71</v>
      </c>
      <c r="Q199" s="29" t="s">
        <v>72</v>
      </c>
      <c r="R199" s="29" t="s">
        <v>73</v>
      </c>
      <c r="S199" s="29" t="s">
        <v>74</v>
      </c>
      <c r="T199" s="29" t="s">
        <v>75</v>
      </c>
      <c r="U199" s="24"/>
    </row>
    <row r="200" spans="1:21" ht="15.5" x14ac:dyDescent="0.35">
      <c r="A200" s="16" t="s">
        <v>42</v>
      </c>
      <c r="B200" s="29">
        <f>B192*0.3/12</f>
        <v>3265.4999999999995</v>
      </c>
      <c r="C200" s="29">
        <f>C192*0.3/12</f>
        <v>979.64999999999975</v>
      </c>
      <c r="D200" s="29">
        <f>D192*0.3/12</f>
        <v>1632.7499999999998</v>
      </c>
      <c r="E200" s="29">
        <f>E192*0.3/12</f>
        <v>2612.4</v>
      </c>
      <c r="F200" s="29">
        <f>F192*0.3/12</f>
        <v>3918.599999999999</v>
      </c>
      <c r="G200" s="12"/>
      <c r="H200" s="12" t="s">
        <v>42</v>
      </c>
      <c r="I200" s="12">
        <f>COUNTIFS('ADU Homeowner Survey 2025'!$AG:$AG,"2025",'ADU Homeowner Survey 2025'!$B:$B,"San Francisco County", 'ADU Homeowner Survey 2025'!$Q:$Q, "0 (studio)",'ADU Homeowner Survey 2025'!$R:$R, "Not planning to use for housing")</f>
        <v>0</v>
      </c>
      <c r="J200" s="12">
        <f>COUNTIFS('ADU Homeowner Survey 2025'!$AG:$AG,"2025",'ADU Homeowner Survey 2025'!$B:$B,"San Francisco County", 'ADU Homeowner Survey 2025'!$Q:$Q, "0 (studio)",'ADU Homeowner Survey 2025'!$R:$R, "Decline to state")</f>
        <v>2</v>
      </c>
      <c r="K200" s="12">
        <f>COUNTIFS('ADU Homeowner Survey 2025'!$AG:$AG,"2025",'ADU Homeowner Survey 2025'!$B:$B,"San Francisco County", 'ADU Homeowner Survey 2025'!$Q:$Q, "0 (studio)",'ADU Homeowner Survey 2025'!$R:$R, "Not planning to charge rent")</f>
        <v>0</v>
      </c>
      <c r="L200" s="12">
        <f>COUNTIFS('ADU Homeowner Survey 2025'!$AG:$AG,"2025",'ADU Homeowner Survey 2025'!$B:$B,"San Francisco County", 'ADU Homeowner Survey 2025'!$Q:$Q, "0 (studio)",'ADU Homeowner Survey 2025'!$R:$R, "$1 - $1,000")</f>
        <v>1</v>
      </c>
      <c r="M200" s="12">
        <f>COUNTIFS('ADU Homeowner Survey 2025'!$AG:$AG,"2025",'ADU Homeowner Survey 2025'!$B:$B,"San Francisco County", 'ADU Homeowner Survey 2025'!$Q:$Q, "0 (studio)",'ADU Homeowner Survey 2025'!$R:$R, "$1,001 - $1,500")</f>
        <v>0</v>
      </c>
      <c r="N200" s="12">
        <f>COUNTIFS('ADU Homeowner Survey 2025'!$AG:$AG,"2025",'ADU Homeowner Survey 2025'!$B:$B,"San Francisco County", 'ADU Homeowner Survey 2025'!$Q:$Q, "0 (studio)",'ADU Homeowner Survey 2025'!$R:$R, "$1,501 - $2,000")</f>
        <v>1</v>
      </c>
      <c r="O200" s="12">
        <f>COUNTIFS('ADU Homeowner Survey 2025'!$AG:$AG,"2025",'ADU Homeowner Survey 2025'!$B:$B,"San Francisco County", 'ADU Homeowner Survey 2025'!$Q:$Q, "0 (studio)",'ADU Homeowner Survey 2025'!$R:$R, "$2,001 - $2,500")</f>
        <v>0</v>
      </c>
      <c r="P200" s="12">
        <f>COUNTIFS('ADU Homeowner Survey 2025'!$AG:$AG,"2025",'ADU Homeowner Survey 2025'!$B:$B,"San Francisco County", 'ADU Homeowner Survey 2025'!$Q:$Q, "0 (studio)",'ADU Homeowner Survey 2025'!$R:$R, "$2,501 - $3,000")</f>
        <v>1</v>
      </c>
      <c r="Q200" s="12">
        <f>COUNTIFS('ADU Homeowner Survey 2025'!$AG:$AG,"2025",'ADU Homeowner Survey 2025'!$B:$B,"San Francisco County", 'ADU Homeowner Survey 2025'!$Q:$Q, "0 (studio)",'ADU Homeowner Survey 2025'!$R:$R, "$3,001 - $3,500")</f>
        <v>0</v>
      </c>
      <c r="R200" s="12">
        <f>COUNTIFS('ADU Homeowner Survey 2025'!$AG:$AG,"2025",'ADU Homeowner Survey 2025'!$B:$B,"San Francisco County", 'ADU Homeowner Survey 2025'!$Q:$Q, "0 (studio)",'ADU Homeowner Survey 2025'!$R:$R, "$3,501 - $4,000")</f>
        <v>0</v>
      </c>
      <c r="S200" s="12">
        <f>COUNTIFS('ADU Homeowner Survey 2025'!$AG:$AG,"2025",'ADU Homeowner Survey 2025'!$B:$B,"San Francisco County", 'ADU Homeowner Survey 2025'!$Q:$Q, "0 (studio)",'ADU Homeowner Survey 2025'!$R:$R, "$4,001 - $4,500")</f>
        <v>0</v>
      </c>
      <c r="T200" s="12">
        <f>COUNTIFS('ADU Homeowner Survey 2025'!$AG:$AG,"2025",'ADU Homeowner Survey 2025'!$B:$B,"San Francisco County", 'ADU Homeowner Survey 2025'!$Q:$Q, "0 (studio)",'ADU Homeowner Survey 2025'!$R:$R, "More than $4,500")</f>
        <v>0</v>
      </c>
      <c r="U200" s="24">
        <f>SUM(I200:T200)</f>
        <v>5</v>
      </c>
    </row>
    <row r="201" spans="1:21" ht="15.5" x14ac:dyDescent="0.35">
      <c r="A201" s="16" t="s">
        <v>216</v>
      </c>
      <c r="B201" s="29">
        <f t="shared" ref="B201:F201" si="50">B193*0.3/12</f>
        <v>3732</v>
      </c>
      <c r="C201" s="29">
        <f t="shared" si="50"/>
        <v>1119.5999999999999</v>
      </c>
      <c r="D201" s="29">
        <f t="shared" si="50"/>
        <v>1866</v>
      </c>
      <c r="E201" s="29">
        <f t="shared" si="50"/>
        <v>2985.6</v>
      </c>
      <c r="F201" s="29">
        <f t="shared" si="50"/>
        <v>4478.3999999999996</v>
      </c>
      <c r="G201" s="12"/>
      <c r="H201" s="12" t="s">
        <v>216</v>
      </c>
      <c r="I201" s="12">
        <f>COUNTIFS('ADU Homeowner Survey 2025'!$AG:$AG,"2025",'ADU Homeowner Survey 2025'!$B:$B,"San Francisco County", 'ADU Homeowner Survey 2025'!$Q:$Q, "1",'ADU Homeowner Survey 2025'!$R:$R, "Not planning to use for housing")</f>
        <v>0</v>
      </c>
      <c r="J201" s="12">
        <f>COUNTIFS('ADU Homeowner Survey 2025'!$AG:$AG,"2025",'ADU Homeowner Survey 2025'!$B:$B,"San Francisco County", 'ADU Homeowner Survey 2025'!$Q:$Q, "1",'ADU Homeowner Survey 2025'!$R:$R, "Decline to state")</f>
        <v>0</v>
      </c>
      <c r="K201" s="12">
        <f>COUNTIFS('ADU Homeowner Survey 2025'!$AG:$AG,"2025",'ADU Homeowner Survey 2025'!$B:$B,"San Francisco County", 'ADU Homeowner Survey 2025'!$Q:$Q, "1",'ADU Homeowner Survey 2025'!$R:$R, "Not planning to charge rent")</f>
        <v>1</v>
      </c>
      <c r="L201" s="12">
        <f>COUNTIFS('ADU Homeowner Survey 2025'!$AG:$AG,"2025",'ADU Homeowner Survey 2025'!$B:$B,"San Francisco County", 'ADU Homeowner Survey 2025'!$Q:$Q, "1",'ADU Homeowner Survey 2025'!$R:$R, "$1 - $1,000")</f>
        <v>0</v>
      </c>
      <c r="M201" s="12">
        <f>COUNTIFS('ADU Homeowner Survey 2025'!$AG:$AG,"2025",'ADU Homeowner Survey 2025'!$B:$B,"San Francisco County", 'ADU Homeowner Survey 2025'!$Q:$Q, "1",'ADU Homeowner Survey 2025'!$R:$R, "$1,001 - $1,500")</f>
        <v>1</v>
      </c>
      <c r="N201" s="12">
        <f>COUNTIFS('ADU Homeowner Survey 2025'!$AG:$AG,"2025",'ADU Homeowner Survey 2025'!$B:$B,"San Francisco County", 'ADU Homeowner Survey 2025'!$Q:$Q, "1",'ADU Homeowner Survey 2025'!$R:$R, "$1,501 - $2,000")</f>
        <v>3</v>
      </c>
      <c r="O201" s="12">
        <f>COUNTIFS('ADU Homeowner Survey 2025'!$AG:$AG,"2025",'ADU Homeowner Survey 2025'!$B:$B,"San Francisco County", 'ADU Homeowner Survey 2025'!$Q:$Q, "1",'ADU Homeowner Survey 2025'!$R:$R, "$2,001 - $2,500")</f>
        <v>0</v>
      </c>
      <c r="P201" s="12">
        <f>COUNTIFS('ADU Homeowner Survey 2025'!$AG:$AG,"2025",'ADU Homeowner Survey 2025'!$B:$B,"San Francisco County", 'ADU Homeowner Survey 2025'!$Q:$Q, "1",'ADU Homeowner Survey 2025'!$R:$R, "$2,501 - $3,000")</f>
        <v>5</v>
      </c>
      <c r="Q201" s="12">
        <f>COUNTIFS('ADU Homeowner Survey 2025'!$AG:$AG,"2025",'ADU Homeowner Survey 2025'!$B:$B,"San Francisco County", 'ADU Homeowner Survey 2025'!$Q:$Q, "1",'ADU Homeowner Survey 2025'!$R:$R, "$3,001 - $3,500")</f>
        <v>2</v>
      </c>
      <c r="R201" s="12">
        <f>COUNTIFS('ADU Homeowner Survey 2025'!$AG:$AG,"2025",'ADU Homeowner Survey 2025'!$B:$B,"San Francisco County", 'ADU Homeowner Survey 2025'!$Q:$Q, "1",'ADU Homeowner Survey 2025'!$R:$R, "$3,501 - $4,000")</f>
        <v>1</v>
      </c>
      <c r="S201" s="12">
        <f>COUNTIFS('ADU Homeowner Survey 2025'!$AG:$AG,"2025",'ADU Homeowner Survey 2025'!$B:$B,"San Francisco County", 'ADU Homeowner Survey 2025'!$Q:$Q, "1",'ADU Homeowner Survey 2025'!$R:$R, "$4,001 - $4,500")</f>
        <v>0</v>
      </c>
      <c r="T201" s="12">
        <f>COUNTIFS('ADU Homeowner Survey 2025'!$AG:$AG,"2025",'ADU Homeowner Survey 2025'!$B:$B,"San Francisco County", 'ADU Homeowner Survey 2025'!$Q:$Q, "1",'ADU Homeowner Survey 2025'!$R:$R, "More than $4,500")</f>
        <v>0</v>
      </c>
      <c r="U201" s="24">
        <f t="shared" ref="U201:U204" si="51">SUM(I201:T201)</f>
        <v>13</v>
      </c>
    </row>
    <row r="202" spans="1:21" ht="15.5" x14ac:dyDescent="0.35">
      <c r="A202" s="16" t="s">
        <v>217</v>
      </c>
      <c r="B202" s="29">
        <f t="shared" ref="B202:F202" si="52">B194*0.3/12</f>
        <v>4198.5</v>
      </c>
      <c r="C202" s="29">
        <f t="shared" si="52"/>
        <v>1259.55</v>
      </c>
      <c r="D202" s="29">
        <f t="shared" si="52"/>
        <v>2099.25</v>
      </c>
      <c r="E202" s="29">
        <f t="shared" si="52"/>
        <v>3358.7999999999997</v>
      </c>
      <c r="F202" s="29">
        <f t="shared" si="52"/>
        <v>5038.2</v>
      </c>
      <c r="G202" s="12"/>
      <c r="H202" s="12" t="s">
        <v>217</v>
      </c>
      <c r="I202" s="12">
        <f>COUNTIFS('ADU Homeowner Survey 2025'!$AG:$AG,"2025",'ADU Homeowner Survey 2025'!$B:$B,"San Francisco County", 'ADU Homeowner Survey 2025'!$Q:$Q, "2",'ADU Homeowner Survey 2025'!$R:$R, "Not planning to use for housing")</f>
        <v>0</v>
      </c>
      <c r="J202" s="12">
        <f>COUNTIFS('ADU Homeowner Survey 2025'!$AG:$AG,"2025",'ADU Homeowner Survey 2025'!$B:$B,"San Francisco County", 'ADU Homeowner Survey 2025'!$Q:$Q, "2",'ADU Homeowner Survey 2025'!$R:$R, "Decline to state")</f>
        <v>1</v>
      </c>
      <c r="K202" s="12">
        <f>COUNTIFS('ADU Homeowner Survey 2025'!$AG:$AG,"2025",'ADU Homeowner Survey 2025'!$B:$B,"San Francisco County", 'ADU Homeowner Survey 2025'!$Q:$Q, "2",'ADU Homeowner Survey 2025'!$R:$R, "Not planning to charge rent")</f>
        <v>2</v>
      </c>
      <c r="L202" s="12">
        <f>COUNTIFS('ADU Homeowner Survey 2025'!$AG:$AG,"2025",'ADU Homeowner Survey 2025'!$B:$B,"San Francisco County", 'ADU Homeowner Survey 2025'!$Q:$Q, "2",'ADU Homeowner Survey 2025'!$R:$R, "$1 - $1,000")</f>
        <v>0</v>
      </c>
      <c r="M202" s="12">
        <f>COUNTIFS('ADU Homeowner Survey 2025'!$AG:$AG,"2025",'ADU Homeowner Survey 2025'!$B:$B,"San Francisco County", 'ADU Homeowner Survey 2025'!$Q:$Q, "2",'ADU Homeowner Survey 2025'!$R:$R, "$1,001 - $1,500")</f>
        <v>0</v>
      </c>
      <c r="N202" s="12">
        <f>COUNTIFS('ADU Homeowner Survey 2025'!$AG:$AG,"2025",'ADU Homeowner Survey 2025'!$B:$B,"San Francisco County", 'ADU Homeowner Survey 2025'!$Q:$Q, "2",'ADU Homeowner Survey 2025'!$R:$R, "$1,501 - $2,000")</f>
        <v>0</v>
      </c>
      <c r="O202" s="12">
        <f>COUNTIFS('ADU Homeowner Survey 2025'!$AG:$AG,"2025",'ADU Homeowner Survey 2025'!$B:$B,"San Francisco County", 'ADU Homeowner Survey 2025'!$Q:$Q, "2",'ADU Homeowner Survey 2025'!$R:$R, "$2,001 - $2,500")</f>
        <v>4</v>
      </c>
      <c r="P202" s="12">
        <f>COUNTIFS('ADU Homeowner Survey 2025'!$AG:$AG,"2025",'ADU Homeowner Survey 2025'!$B:$B,"San Francisco County", 'ADU Homeowner Survey 2025'!$Q:$Q, "2",'ADU Homeowner Survey 2025'!$R:$R, "$2,501 - $3,000")</f>
        <v>4</v>
      </c>
      <c r="Q202" s="12">
        <f>COUNTIFS('ADU Homeowner Survey 2025'!$AG:$AG,"2025",'ADU Homeowner Survey 2025'!$B:$B,"San Francisco County", 'ADU Homeowner Survey 2025'!$Q:$Q, "2",'ADU Homeowner Survey 2025'!$R:$R, "$3,001 - $3,500")</f>
        <v>2</v>
      </c>
      <c r="R202" s="12">
        <f>COUNTIFS('ADU Homeowner Survey 2025'!$AG:$AG,"2025",'ADU Homeowner Survey 2025'!$B:$B,"San Francisco County", 'ADU Homeowner Survey 2025'!$Q:$Q, "2",'ADU Homeowner Survey 2025'!$R:$R, "$3,501 - $4,000")</f>
        <v>1</v>
      </c>
      <c r="S202" s="12">
        <f>COUNTIFS('ADU Homeowner Survey 2025'!$AG:$AG,"2025",'ADU Homeowner Survey 2025'!$B:$B,"San Francisco County", 'ADU Homeowner Survey 2025'!$Q:$Q, "2",'ADU Homeowner Survey 2025'!$R:$R, "$4,001 - $4,500")</f>
        <v>0</v>
      </c>
      <c r="T202" s="12">
        <f>COUNTIFS('ADU Homeowner Survey 2025'!$AG:$AG,"2025",'ADU Homeowner Survey 2025'!$B:$B,"San Francisco County", 'ADU Homeowner Survey 2025'!$Q:$Q, "2",'ADU Homeowner Survey 2025'!$R:$R, "More than $4,500")</f>
        <v>1</v>
      </c>
      <c r="U202" s="24">
        <f t="shared" si="51"/>
        <v>15</v>
      </c>
    </row>
    <row r="203" spans="1:21" ht="15.5" x14ac:dyDescent="0.35">
      <c r="A203" s="16" t="s">
        <v>218</v>
      </c>
      <c r="B203" s="29">
        <f t="shared" ref="B203:F203" si="53">B195*0.3/12</f>
        <v>4665</v>
      </c>
      <c r="C203" s="29">
        <f t="shared" si="53"/>
        <v>1399.5</v>
      </c>
      <c r="D203" s="29">
        <f t="shared" si="53"/>
        <v>2332.5</v>
      </c>
      <c r="E203" s="29">
        <f t="shared" si="53"/>
        <v>3732</v>
      </c>
      <c r="F203" s="29">
        <f t="shared" si="53"/>
        <v>5598</v>
      </c>
      <c r="G203" s="12"/>
      <c r="H203" s="12" t="s">
        <v>221</v>
      </c>
      <c r="I203" s="12">
        <f>COUNTIFS('ADU Homeowner Survey 2025'!$AG:$AG,"2025",'ADU Homeowner Survey 2025'!$B:$B,"San Francisco County", 'ADU Homeowner Survey 2025'!$Q:$Q, "3 or more",'ADU Homeowner Survey 2025'!$R:$R, "Not planning to use for housing")</f>
        <v>0</v>
      </c>
      <c r="J203" s="12">
        <f>COUNTIFS('ADU Homeowner Survey 2025'!$AG:$AG,"2025",'ADU Homeowner Survey 2025'!$B:$B,"San Francisco County", 'ADU Homeowner Survey 2025'!$Q:$Q, "3 or more",'ADU Homeowner Survey 2025'!$R:$R, "Decline to state")</f>
        <v>0</v>
      </c>
      <c r="K203" s="12">
        <f>COUNTIFS('ADU Homeowner Survey 2025'!$AG:$AG,"2025",'ADU Homeowner Survey 2025'!$B:$B,"San Francisco County", 'ADU Homeowner Survey 2025'!$Q:$Q, "3 or more",'ADU Homeowner Survey 2025'!$R:$R, "Not planning to charge rent")</f>
        <v>0</v>
      </c>
      <c r="L203" s="12">
        <f>COUNTIFS('ADU Homeowner Survey 2025'!$AG:$AG,"2025",'ADU Homeowner Survey 2025'!$B:$B,"San Francisco County", 'ADU Homeowner Survey 2025'!$Q:$Q, "3 or more",'ADU Homeowner Survey 2025'!$R:$R, "$1 - $1,000")</f>
        <v>0</v>
      </c>
      <c r="M203" s="12">
        <f>COUNTIFS('ADU Homeowner Survey 2025'!$AG:$AG,"2025",'ADU Homeowner Survey 2025'!$B:$B,"San Francisco County", 'ADU Homeowner Survey 2025'!$Q:$Q, "3 or more",'ADU Homeowner Survey 2025'!$R:$R, "$1,001 - $1,500")</f>
        <v>0</v>
      </c>
      <c r="N203" s="12">
        <f>COUNTIFS('ADU Homeowner Survey 2025'!$AG:$AG,"2025",'ADU Homeowner Survey 2025'!$B:$B,"San Francisco County", 'ADU Homeowner Survey 2025'!$Q:$Q, "3 or more",'ADU Homeowner Survey 2025'!$R:$R, "$1,501 - $2,000")</f>
        <v>0</v>
      </c>
      <c r="O203" s="12">
        <f>COUNTIFS('ADU Homeowner Survey 2025'!$AG:$AG,"2025",'ADU Homeowner Survey 2025'!$B:$B,"San Francisco County", 'ADU Homeowner Survey 2025'!$Q:$Q, "3 or more",'ADU Homeowner Survey 2025'!$R:$R, "$2,001 - $2,500")</f>
        <v>0</v>
      </c>
      <c r="P203" s="12">
        <f>COUNTIFS('ADU Homeowner Survey 2025'!$AG:$AG,"2025",'ADU Homeowner Survey 2025'!$B:$B,"San Francisco County", 'ADU Homeowner Survey 2025'!$Q:$Q, "3 or more",'ADU Homeowner Survey 2025'!$R:$R, "$2,501 - $3,000")</f>
        <v>1</v>
      </c>
      <c r="Q203" s="12">
        <f>COUNTIFS('ADU Homeowner Survey 2025'!$AG:$AG,"2025",'ADU Homeowner Survey 2025'!$B:$B,"San Francisco County", 'ADU Homeowner Survey 2025'!$Q:$Q, "3 or more",'ADU Homeowner Survey 2025'!$R:$R, "$3,001 - $3,500")</f>
        <v>0</v>
      </c>
      <c r="R203" s="12">
        <f>COUNTIFS('ADU Homeowner Survey 2025'!$AG:$AG,"2025",'ADU Homeowner Survey 2025'!$B:$B,"San Francisco County", 'ADU Homeowner Survey 2025'!$Q:$Q, "3 or more",'ADU Homeowner Survey 2025'!$R:$R, "$3,501 - $4,000")</f>
        <v>0</v>
      </c>
      <c r="S203" s="12">
        <f>COUNTIFS('ADU Homeowner Survey 2025'!$AG:$AG,"2025",'ADU Homeowner Survey 2025'!$B:$B,"San Francisco County", 'ADU Homeowner Survey 2025'!$Q:$Q, "3 or more",'ADU Homeowner Survey 2025'!$R:$R, "$4,001 - $4,500")</f>
        <v>0</v>
      </c>
      <c r="T203" s="12">
        <f>COUNTIFS('ADU Homeowner Survey 2025'!$AG:$AG,"2025",'ADU Homeowner Survey 2025'!$B:$B,"San Francisco County", 'ADU Homeowner Survey 2025'!$Q:$Q, "3 or more",'ADU Homeowner Survey 2025'!$R:$R, "More than $4,500")</f>
        <v>0</v>
      </c>
      <c r="U203" s="24">
        <f t="shared" si="51"/>
        <v>1</v>
      </c>
    </row>
    <row r="204" spans="1:21" ht="15.5" x14ac:dyDescent="0.35">
      <c r="A204" s="16"/>
      <c r="B204" s="29"/>
      <c r="C204" s="29"/>
      <c r="D204" s="29"/>
      <c r="E204" s="29"/>
      <c r="F204" s="29"/>
      <c r="G204" s="12"/>
      <c r="H204" s="12" t="s">
        <v>222</v>
      </c>
      <c r="I204" s="12">
        <f>SUM(I200:I203)</f>
        <v>0</v>
      </c>
      <c r="J204" s="12">
        <f>SUM(J200:J203)</f>
        <v>3</v>
      </c>
      <c r="K204" s="12">
        <f t="shared" ref="K204:T204" si="54">SUM(K200:K203)</f>
        <v>3</v>
      </c>
      <c r="L204" s="12">
        <f t="shared" si="54"/>
        <v>1</v>
      </c>
      <c r="M204" s="12">
        <f t="shared" si="54"/>
        <v>1</v>
      </c>
      <c r="N204" s="12">
        <f t="shared" si="54"/>
        <v>4</v>
      </c>
      <c r="O204" s="12">
        <f t="shared" si="54"/>
        <v>4</v>
      </c>
      <c r="P204" s="12">
        <f t="shared" si="54"/>
        <v>11</v>
      </c>
      <c r="Q204" s="12">
        <f t="shared" si="54"/>
        <v>4</v>
      </c>
      <c r="R204" s="12">
        <f t="shared" si="54"/>
        <v>2</v>
      </c>
      <c r="S204" s="12">
        <f t="shared" si="54"/>
        <v>0</v>
      </c>
      <c r="T204" s="12">
        <f t="shared" si="54"/>
        <v>1</v>
      </c>
      <c r="U204" s="24">
        <f t="shared" si="51"/>
        <v>34</v>
      </c>
    </row>
    <row r="205" spans="1:21" ht="15.5" x14ac:dyDescent="0.35">
      <c r="A205" s="16"/>
      <c r="B205" s="29"/>
      <c r="C205" s="29"/>
      <c r="D205" s="29"/>
      <c r="E205" s="29"/>
      <c r="F205" s="29"/>
      <c r="G205" s="12"/>
      <c r="H205" s="12"/>
      <c r="I205" s="12"/>
      <c r="J205" s="12"/>
      <c r="K205" s="12"/>
      <c r="L205" s="12"/>
      <c r="M205" s="12"/>
      <c r="N205" s="12"/>
      <c r="O205" s="12"/>
      <c r="P205" s="12"/>
      <c r="Q205" s="12"/>
      <c r="R205" s="12"/>
      <c r="S205" s="12"/>
      <c r="T205" s="12"/>
      <c r="U205" s="24"/>
    </row>
    <row r="206" spans="1:21" ht="15.75" customHeight="1" x14ac:dyDescent="0.35">
      <c r="A206" s="16"/>
      <c r="B206" s="12"/>
      <c r="C206" s="12"/>
      <c r="D206" s="12"/>
      <c r="E206" s="12"/>
      <c r="F206" s="12"/>
      <c r="G206" s="12"/>
      <c r="H206" s="50" t="s">
        <v>229</v>
      </c>
      <c r="I206" s="47"/>
      <c r="J206" s="47"/>
      <c r="K206" s="47"/>
      <c r="L206" s="47"/>
      <c r="M206" s="47"/>
      <c r="N206" s="47"/>
      <c r="O206" s="47"/>
      <c r="P206" s="47"/>
      <c r="Q206" s="47"/>
      <c r="R206" s="12"/>
      <c r="S206" s="12"/>
      <c r="T206" s="12"/>
      <c r="U206" s="24"/>
    </row>
    <row r="207" spans="1:21" ht="15.5" x14ac:dyDescent="0.35">
      <c r="A207" s="25" t="s">
        <v>220</v>
      </c>
      <c r="B207" s="12"/>
      <c r="C207" s="12"/>
      <c r="D207" s="12"/>
      <c r="E207" s="12"/>
      <c r="F207" s="12"/>
      <c r="G207" s="12"/>
      <c r="H207" s="47"/>
      <c r="I207" s="47"/>
      <c r="J207" s="47"/>
      <c r="K207" s="47"/>
      <c r="L207" s="47"/>
      <c r="M207" s="47"/>
      <c r="N207" s="47"/>
      <c r="O207" s="47"/>
      <c r="P207" s="47"/>
      <c r="Q207" s="47"/>
      <c r="R207" s="12"/>
      <c r="S207" s="12"/>
      <c r="T207" s="12"/>
      <c r="U207" s="24"/>
    </row>
    <row r="208" spans="1:21" ht="15.5" x14ac:dyDescent="0.35">
      <c r="A208" s="16"/>
      <c r="B208" s="12" t="s">
        <v>215</v>
      </c>
      <c r="C208" s="12" t="s">
        <v>208</v>
      </c>
      <c r="D208" s="12" t="s">
        <v>209</v>
      </c>
      <c r="E208" s="12" t="s">
        <v>210</v>
      </c>
      <c r="F208" s="12" t="s">
        <v>211</v>
      </c>
      <c r="G208" s="12"/>
      <c r="H208" s="12"/>
      <c r="I208" s="12" t="s">
        <v>76</v>
      </c>
      <c r="J208" s="12" t="s">
        <v>165</v>
      </c>
      <c r="K208" s="12" t="s">
        <v>208</v>
      </c>
      <c r="L208" s="12" t="s">
        <v>223</v>
      </c>
      <c r="M208" s="12" t="s">
        <v>210</v>
      </c>
      <c r="N208" s="12" t="s">
        <v>211</v>
      </c>
      <c r="O208" s="12" t="s">
        <v>224</v>
      </c>
      <c r="P208" s="12"/>
      <c r="Q208" s="12"/>
      <c r="R208" s="12"/>
      <c r="S208" s="12"/>
      <c r="T208" s="12"/>
      <c r="U208" s="24"/>
    </row>
    <row r="209" spans="1:21" ht="15.5" x14ac:dyDescent="0.35">
      <c r="A209" s="16" t="s">
        <v>42</v>
      </c>
      <c r="B209" s="29" t="s">
        <v>71</v>
      </c>
      <c r="C209" s="29" t="s">
        <v>67</v>
      </c>
      <c r="D209" s="29" t="s">
        <v>69</v>
      </c>
      <c r="E209" s="29" t="s">
        <v>71</v>
      </c>
      <c r="F209" s="29" t="s">
        <v>73</v>
      </c>
      <c r="G209" s="12"/>
      <c r="H209" s="12" t="s">
        <v>42</v>
      </c>
      <c r="I209" s="12">
        <f t="shared" ref="I209:J212" si="55">I200</f>
        <v>0</v>
      </c>
      <c r="J209" s="35">
        <f t="shared" si="55"/>
        <v>2</v>
      </c>
      <c r="K209" s="35">
        <f>K200+L200*L179</f>
        <v>0.9796499999999998</v>
      </c>
      <c r="L209" s="35">
        <f>L200*L180+M200+N200*L183</f>
        <v>0.28437805611222422</v>
      </c>
      <c r="M209" s="35">
        <f>N200*L184+P200*L187</f>
        <v>0.95921843687374808</v>
      </c>
      <c r="N209" s="35">
        <f>P200*L188</f>
        <v>0.7767535070140279</v>
      </c>
      <c r="O209" s="35">
        <v>0</v>
      </c>
      <c r="P209" s="35">
        <f>SUM(I209:O209)</f>
        <v>5</v>
      </c>
      <c r="Q209" s="12"/>
      <c r="R209" s="12"/>
      <c r="S209" s="12"/>
      <c r="T209" s="12"/>
      <c r="U209" s="24"/>
    </row>
    <row r="210" spans="1:21" ht="15.5" x14ac:dyDescent="0.35">
      <c r="A210" s="16" t="s">
        <v>216</v>
      </c>
      <c r="B210" s="29" t="s">
        <v>73</v>
      </c>
      <c r="C210" s="29" t="s">
        <v>68</v>
      </c>
      <c r="D210" s="29" t="s">
        <v>69</v>
      </c>
      <c r="E210" s="29" t="s">
        <v>71</v>
      </c>
      <c r="F210" s="29" t="s">
        <v>74</v>
      </c>
      <c r="G210" s="12"/>
      <c r="H210" s="12" t="s">
        <v>216</v>
      </c>
      <c r="I210" s="12">
        <f t="shared" si="55"/>
        <v>0</v>
      </c>
      <c r="J210" s="35">
        <f t="shared" si="55"/>
        <v>0</v>
      </c>
      <c r="K210" s="35">
        <f>K201+M201*N181</f>
        <v>1.2376753507014027</v>
      </c>
      <c r="L210" s="35">
        <f>M201*N182+N201*N183</f>
        <v>2.9567134268537076</v>
      </c>
      <c r="M210" s="7">
        <f>N201*N184+O201+P201*N187</f>
        <v>5.6613226452905803</v>
      </c>
      <c r="N210" s="35">
        <f>P201*N188+Q201+R201</f>
        <v>3.1442885771543096</v>
      </c>
      <c r="O210" s="35">
        <v>0</v>
      </c>
      <c r="P210" s="35">
        <f t="shared" ref="P210:P213" si="56">SUM(I210:O210)</f>
        <v>13</v>
      </c>
      <c r="Q210" s="12"/>
      <c r="R210" s="12"/>
      <c r="S210" s="12"/>
      <c r="T210" s="12"/>
      <c r="U210" s="24"/>
    </row>
    <row r="211" spans="1:21" ht="15.5" x14ac:dyDescent="0.35">
      <c r="A211" s="16" t="s">
        <v>217</v>
      </c>
      <c r="B211" s="29" t="s">
        <v>74</v>
      </c>
      <c r="C211" s="29" t="s">
        <v>68</v>
      </c>
      <c r="D211" s="29" t="s">
        <v>70</v>
      </c>
      <c r="E211" s="29" t="s">
        <v>72</v>
      </c>
      <c r="F211" s="29" t="s">
        <v>75</v>
      </c>
      <c r="G211" s="12"/>
      <c r="H211" s="12" t="s">
        <v>217</v>
      </c>
      <c r="I211" s="12">
        <f t="shared" si="55"/>
        <v>0</v>
      </c>
      <c r="J211" s="35">
        <f t="shared" si="55"/>
        <v>1</v>
      </c>
      <c r="K211" s="35">
        <f>K202</f>
        <v>2</v>
      </c>
      <c r="L211" s="35">
        <f>O202*P185</f>
        <v>0.78757515030060121</v>
      </c>
      <c r="M211" s="35">
        <f>O202*P186+P202+Q202*P189</f>
        <v>8.6464929859719426</v>
      </c>
      <c r="N211" s="35">
        <f>Q202*P190+R202+S202+T202</f>
        <v>2.5659318637274557</v>
      </c>
      <c r="O211" s="35">
        <v>0</v>
      </c>
      <c r="P211" s="35">
        <f t="shared" si="56"/>
        <v>15</v>
      </c>
      <c r="Q211" s="12"/>
      <c r="R211" s="12"/>
      <c r="S211" s="12"/>
      <c r="T211" s="12"/>
      <c r="U211" s="24"/>
    </row>
    <row r="212" spans="1:21" ht="15.5" x14ac:dyDescent="0.35">
      <c r="A212" s="16" t="s">
        <v>218</v>
      </c>
      <c r="B212" s="29" t="s">
        <v>75</v>
      </c>
      <c r="C212" s="29" t="s">
        <v>68</v>
      </c>
      <c r="D212" s="29" t="s">
        <v>70</v>
      </c>
      <c r="E212" s="29" t="s">
        <v>73</v>
      </c>
      <c r="F212" s="29" t="s">
        <v>75</v>
      </c>
      <c r="G212" s="12"/>
      <c r="H212" s="12" t="s">
        <v>221</v>
      </c>
      <c r="I212" s="12">
        <f t="shared" si="55"/>
        <v>0</v>
      </c>
      <c r="J212" s="35">
        <f t="shared" si="55"/>
        <v>0</v>
      </c>
      <c r="K212" s="35">
        <f>K203</f>
        <v>0</v>
      </c>
      <c r="L212" s="35">
        <v>0</v>
      </c>
      <c r="M212" s="35">
        <f>P203</f>
        <v>1</v>
      </c>
      <c r="N212" s="35">
        <v>0</v>
      </c>
      <c r="O212" s="35">
        <v>0</v>
      </c>
      <c r="P212" s="35">
        <f t="shared" si="56"/>
        <v>1</v>
      </c>
      <c r="Q212" s="12"/>
      <c r="R212" s="12"/>
      <c r="S212" s="12"/>
      <c r="T212" s="12"/>
      <c r="U212" s="24"/>
    </row>
    <row r="213" spans="1:21" ht="15.5" x14ac:dyDescent="0.35">
      <c r="A213" s="16"/>
      <c r="B213" s="12"/>
      <c r="C213" s="12"/>
      <c r="D213" s="12"/>
      <c r="E213" s="12"/>
      <c r="F213" s="12"/>
      <c r="G213" s="12"/>
      <c r="H213" s="12" t="s">
        <v>222</v>
      </c>
      <c r="I213" s="12">
        <f>I204</f>
        <v>0</v>
      </c>
      <c r="J213" s="35">
        <f>SUM(J209:J212)</f>
        <v>3</v>
      </c>
      <c r="K213" s="35">
        <f t="shared" ref="K213:O213" si="57">SUM(K209:K212)</f>
        <v>4.2173253507014028</v>
      </c>
      <c r="L213" s="35">
        <f t="shared" si="57"/>
        <v>4.0286666332665337</v>
      </c>
      <c r="M213" s="35">
        <f t="shared" si="57"/>
        <v>16.267034068136269</v>
      </c>
      <c r="N213" s="35">
        <f t="shared" si="57"/>
        <v>6.4869739478957928</v>
      </c>
      <c r="O213" s="35">
        <f t="shared" si="57"/>
        <v>0</v>
      </c>
      <c r="P213" s="35">
        <f t="shared" si="56"/>
        <v>34</v>
      </c>
      <c r="Q213" s="12"/>
      <c r="R213" s="12"/>
      <c r="S213" s="12"/>
      <c r="T213" s="12"/>
      <c r="U213" s="24"/>
    </row>
    <row r="214" spans="1:21" ht="16" thickBot="1" x14ac:dyDescent="0.4">
      <c r="A214" s="18"/>
      <c r="B214" s="26"/>
      <c r="C214" s="26"/>
      <c r="D214" s="26"/>
      <c r="E214" s="26"/>
      <c r="F214" s="26"/>
      <c r="G214" s="26"/>
      <c r="H214" s="26"/>
      <c r="I214" s="26"/>
      <c r="J214" s="26"/>
      <c r="K214" s="26"/>
      <c r="L214" s="26"/>
      <c r="M214" s="26"/>
      <c r="N214" s="26"/>
      <c r="O214" s="26"/>
      <c r="P214" s="26"/>
      <c r="Q214" s="26"/>
      <c r="R214" s="26"/>
      <c r="S214" s="26"/>
      <c r="T214" s="26"/>
      <c r="U214" s="27"/>
    </row>
    <row r="216" spans="1:21" ht="15" thickBot="1" x14ac:dyDescent="0.4"/>
    <row r="217" spans="1:21" ht="15.5" x14ac:dyDescent="0.35">
      <c r="A217" s="14" t="s">
        <v>150</v>
      </c>
      <c r="B217" s="20"/>
      <c r="C217" s="20"/>
      <c r="D217" s="20"/>
      <c r="E217" s="20"/>
      <c r="F217" s="20"/>
      <c r="G217" s="20"/>
      <c r="H217" s="20"/>
      <c r="I217" s="20"/>
      <c r="J217" s="20"/>
      <c r="K217" s="20"/>
      <c r="L217" s="20"/>
      <c r="M217" s="20"/>
      <c r="N217" s="20"/>
      <c r="O217" s="20"/>
      <c r="P217" s="20"/>
      <c r="Q217" s="20"/>
      <c r="R217" s="20"/>
      <c r="S217" s="20"/>
      <c r="T217" s="20"/>
      <c r="U217" s="21"/>
    </row>
    <row r="218" spans="1:21" ht="15.5" x14ac:dyDescent="0.35">
      <c r="A218" s="16"/>
      <c r="B218" s="12"/>
      <c r="C218" s="12"/>
      <c r="D218" s="12"/>
      <c r="E218" s="12"/>
      <c r="F218" s="12"/>
      <c r="G218" s="12"/>
      <c r="K218" s="5" t="s">
        <v>42</v>
      </c>
      <c r="L218" s="5" t="s">
        <v>42</v>
      </c>
      <c r="M218" s="5" t="s">
        <v>203</v>
      </c>
      <c r="N218" s="5" t="s">
        <v>203</v>
      </c>
      <c r="O218" s="5" t="s">
        <v>204</v>
      </c>
      <c r="P218" s="5" t="s">
        <v>204</v>
      </c>
      <c r="Q218" s="5" t="s">
        <v>205</v>
      </c>
      <c r="R218" s="5" t="s">
        <v>205</v>
      </c>
      <c r="S218" s="12"/>
      <c r="T218" s="12"/>
      <c r="U218" s="24"/>
    </row>
    <row r="219" spans="1:21" ht="15.5" x14ac:dyDescent="0.35">
      <c r="A219" s="16"/>
      <c r="B219" s="12"/>
      <c r="C219" s="12"/>
      <c r="D219" s="12"/>
      <c r="E219" s="12"/>
      <c r="F219" s="12"/>
      <c r="G219" s="12"/>
      <c r="J219" s="37"/>
      <c r="K219" s="37" t="s">
        <v>206</v>
      </c>
      <c r="L219" s="37" t="s">
        <v>207</v>
      </c>
      <c r="M219" s="37" t="s">
        <v>206</v>
      </c>
      <c r="N219" s="37" t="s">
        <v>207</v>
      </c>
      <c r="O219" s="37" t="s">
        <v>206</v>
      </c>
      <c r="P219" s="37" t="s">
        <v>207</v>
      </c>
      <c r="Q219" s="37" t="s">
        <v>206</v>
      </c>
      <c r="R219" s="37" t="s">
        <v>207</v>
      </c>
      <c r="S219" s="12"/>
      <c r="T219" s="12"/>
      <c r="U219" s="24"/>
    </row>
    <row r="220" spans="1:21" ht="15.5" x14ac:dyDescent="0.35">
      <c r="A220" s="16"/>
      <c r="B220" s="12"/>
      <c r="C220" s="12"/>
      <c r="D220" s="12"/>
      <c r="E220" s="12"/>
      <c r="F220" s="12"/>
      <c r="G220" s="12"/>
      <c r="J220" s="29" t="s">
        <v>67</v>
      </c>
      <c r="K220" s="12" t="s">
        <v>208</v>
      </c>
      <c r="L220" s="36">
        <f>C240/1000</f>
        <v>0.9796499999999998</v>
      </c>
      <c r="M220" s="38" t="s">
        <v>208</v>
      </c>
      <c r="N220" s="36">
        <v>1</v>
      </c>
      <c r="O220" s="36" t="s">
        <v>208</v>
      </c>
      <c r="P220" s="35">
        <v>1</v>
      </c>
      <c r="Q220" s="12" t="s">
        <v>208</v>
      </c>
      <c r="R220" s="35">
        <v>1</v>
      </c>
      <c r="S220" s="12"/>
      <c r="T220" s="12"/>
      <c r="U220" s="24"/>
    </row>
    <row r="221" spans="1:21" ht="15.5" x14ac:dyDescent="0.35">
      <c r="A221" s="16"/>
      <c r="B221" s="12"/>
      <c r="C221" s="12"/>
      <c r="D221" s="12"/>
      <c r="E221" s="12"/>
      <c r="F221" s="12"/>
      <c r="G221" s="12"/>
      <c r="J221" s="29" t="s">
        <v>67</v>
      </c>
      <c r="K221" s="12" t="s">
        <v>209</v>
      </c>
      <c r="L221" s="35">
        <f>1-L220</f>
        <v>2.0350000000000201E-2</v>
      </c>
      <c r="M221" s="38" t="s">
        <v>208</v>
      </c>
      <c r="N221" s="35">
        <v>1</v>
      </c>
      <c r="O221" s="36" t="s">
        <v>208</v>
      </c>
      <c r="P221" s="35">
        <v>1</v>
      </c>
      <c r="Q221" s="12" t="s">
        <v>208</v>
      </c>
      <c r="R221" s="35">
        <v>1</v>
      </c>
      <c r="S221" s="12"/>
      <c r="T221" s="12"/>
      <c r="U221" s="24"/>
    </row>
    <row r="222" spans="1:21" ht="15.5" x14ac:dyDescent="0.35">
      <c r="A222" s="16"/>
      <c r="B222" s="12"/>
      <c r="C222" s="12"/>
      <c r="D222" s="12"/>
      <c r="E222" s="12"/>
      <c r="F222" s="12"/>
      <c r="G222" s="12"/>
      <c r="J222" s="29" t="s">
        <v>68</v>
      </c>
      <c r="K222" s="12" t="s">
        <v>209</v>
      </c>
      <c r="L222" s="35">
        <v>1</v>
      </c>
      <c r="M222" s="35" t="s">
        <v>208</v>
      </c>
      <c r="N222" s="35">
        <v>0.23767535070140261</v>
      </c>
      <c r="O222" s="35" t="s">
        <v>208</v>
      </c>
      <c r="P222" s="35">
        <f>(C242-1001)/499</f>
        <v>0.51813627254509009</v>
      </c>
      <c r="Q222" s="12" t="s">
        <v>208</v>
      </c>
      <c r="R222" s="35">
        <f>(C243-1000)/499</f>
        <v>0.80060120240480959</v>
      </c>
      <c r="S222" s="12"/>
      <c r="T222" s="12"/>
      <c r="U222" s="24"/>
    </row>
    <row r="223" spans="1:21" ht="15.5" x14ac:dyDescent="0.35">
      <c r="A223" s="16"/>
      <c r="B223" s="12"/>
      <c r="C223" s="12"/>
      <c r="D223" s="12"/>
      <c r="E223" s="12"/>
      <c r="F223" s="12"/>
      <c r="G223" s="12"/>
      <c r="J223" s="29" t="s">
        <v>68</v>
      </c>
      <c r="K223" s="12" t="s">
        <v>209</v>
      </c>
      <c r="L223" s="35">
        <v>1</v>
      </c>
      <c r="M223" s="35" t="s">
        <v>209</v>
      </c>
      <c r="N223" s="35">
        <v>0.76232464929859733</v>
      </c>
      <c r="O223" s="35" t="s">
        <v>209</v>
      </c>
      <c r="P223" s="35">
        <f>1-P222</f>
        <v>0.48186372745490991</v>
      </c>
      <c r="Q223" s="12" t="s">
        <v>209</v>
      </c>
      <c r="R223" s="35">
        <f>1-R222</f>
        <v>0.19939879759519041</v>
      </c>
      <c r="S223" s="12"/>
      <c r="T223" s="12"/>
      <c r="U223" s="24"/>
    </row>
    <row r="224" spans="1:21" ht="15.5" x14ac:dyDescent="0.35">
      <c r="A224" s="16"/>
      <c r="B224" s="12"/>
      <c r="C224" s="12"/>
      <c r="D224" s="12"/>
      <c r="E224" s="12"/>
      <c r="F224" s="12"/>
      <c r="G224" s="12"/>
      <c r="J224" s="29" t="s">
        <v>69</v>
      </c>
      <c r="K224" s="12" t="s">
        <v>209</v>
      </c>
      <c r="L224" s="35">
        <f>(D240-1501)/499</f>
        <v>0.26402805611222402</v>
      </c>
      <c r="M224" s="36" t="s">
        <v>209</v>
      </c>
      <c r="N224" s="35">
        <v>0.73146292585170336</v>
      </c>
      <c r="O224" s="35" t="s">
        <v>209</v>
      </c>
      <c r="P224" s="35">
        <v>1</v>
      </c>
      <c r="Q224" s="12" t="s">
        <v>209</v>
      </c>
      <c r="R224" s="35">
        <v>1</v>
      </c>
      <c r="S224" s="12"/>
      <c r="T224" s="12"/>
      <c r="U224" s="24"/>
    </row>
    <row r="225" spans="1:21" ht="15" customHeight="1" x14ac:dyDescent="0.35">
      <c r="A225" s="16"/>
      <c r="B225" s="12"/>
      <c r="C225" s="12"/>
      <c r="D225" s="12"/>
      <c r="E225" s="12"/>
      <c r="F225" s="12"/>
      <c r="G225" s="12"/>
      <c r="J225" s="29" t="s">
        <v>69</v>
      </c>
      <c r="K225" s="12" t="s">
        <v>210</v>
      </c>
      <c r="L225" s="35">
        <f>1-L224</f>
        <v>0.73597194388777598</v>
      </c>
      <c r="M225" s="35" t="s">
        <v>210</v>
      </c>
      <c r="N225" s="35">
        <v>0.26853707414829697</v>
      </c>
      <c r="O225" s="35" t="s">
        <v>209</v>
      </c>
      <c r="P225" s="35">
        <v>1</v>
      </c>
      <c r="Q225" s="12" t="s">
        <v>209</v>
      </c>
      <c r="R225" s="35">
        <v>1</v>
      </c>
      <c r="S225" s="12"/>
      <c r="T225" s="12"/>
      <c r="U225" s="24"/>
    </row>
    <row r="226" spans="1:21" ht="15" customHeight="1" x14ac:dyDescent="0.35">
      <c r="A226" s="16"/>
      <c r="B226" s="12"/>
      <c r="C226" s="12"/>
      <c r="D226" s="12"/>
      <c r="E226" s="12"/>
      <c r="F226" s="12"/>
      <c r="G226" s="12"/>
      <c r="J226" s="29" t="s">
        <v>70</v>
      </c>
      <c r="K226" s="12" t="s">
        <v>210</v>
      </c>
      <c r="L226" s="36">
        <v>1</v>
      </c>
      <c r="M226" s="35" t="s">
        <v>210</v>
      </c>
      <c r="N226" s="36">
        <v>1</v>
      </c>
      <c r="O226" s="35" t="s">
        <v>209</v>
      </c>
      <c r="P226" s="35">
        <f>(D242-2001)/499</f>
        <v>0.1968937875751503</v>
      </c>
      <c r="Q226" s="12" t="s">
        <v>209</v>
      </c>
      <c r="R226" s="35">
        <f>(D243-2001)/499</f>
        <v>0.66432865731462931</v>
      </c>
      <c r="S226" s="12"/>
      <c r="T226" s="12"/>
      <c r="U226" s="24"/>
    </row>
    <row r="227" spans="1:21" ht="15" customHeight="1" x14ac:dyDescent="0.35">
      <c r="A227" s="16"/>
      <c r="B227" s="12"/>
      <c r="C227" s="12"/>
      <c r="D227" s="12"/>
      <c r="E227" s="12"/>
      <c r="F227" s="12"/>
      <c r="G227" s="12"/>
      <c r="J227" s="29" t="s">
        <v>70</v>
      </c>
      <c r="K227" s="12" t="s">
        <v>210</v>
      </c>
      <c r="L227" s="36">
        <v>1</v>
      </c>
      <c r="M227" s="35" t="s">
        <v>210</v>
      </c>
      <c r="N227" s="36">
        <v>1</v>
      </c>
      <c r="O227" s="36" t="s">
        <v>210</v>
      </c>
      <c r="P227" s="35">
        <f>1-P226</f>
        <v>0.8031062124248497</v>
      </c>
      <c r="Q227" s="12" t="s">
        <v>210</v>
      </c>
      <c r="R227" s="35">
        <f>1-R226</f>
        <v>0.33567134268537069</v>
      </c>
      <c r="S227" s="12"/>
      <c r="T227" s="12"/>
      <c r="U227" s="24"/>
    </row>
    <row r="228" spans="1:21" ht="15.5" x14ac:dyDescent="0.35">
      <c r="A228" s="16"/>
      <c r="B228" s="12"/>
      <c r="C228" s="12"/>
      <c r="D228" s="12"/>
      <c r="E228" s="12"/>
      <c r="F228" s="12"/>
      <c r="G228" s="12"/>
      <c r="J228" s="29" t="s">
        <v>71</v>
      </c>
      <c r="K228" s="12" t="s">
        <v>210</v>
      </c>
      <c r="L228" s="35">
        <f>(E240-2501)/499</f>
        <v>0.22324649298597213</v>
      </c>
      <c r="M228" s="35" t="s">
        <v>210</v>
      </c>
      <c r="N228" s="35">
        <v>0.97114228456913809</v>
      </c>
      <c r="O228" s="35" t="s">
        <v>210</v>
      </c>
      <c r="P228" s="35">
        <v>1</v>
      </c>
      <c r="Q228" s="12" t="s">
        <v>210</v>
      </c>
      <c r="R228" s="35">
        <v>1</v>
      </c>
      <c r="S228" s="12"/>
      <c r="T228" s="12"/>
      <c r="U228" s="24"/>
    </row>
    <row r="229" spans="1:21" ht="15.5" x14ac:dyDescent="0.35">
      <c r="A229" s="16"/>
      <c r="B229" s="12"/>
      <c r="C229" s="12"/>
      <c r="D229" s="12"/>
      <c r="E229" s="12"/>
      <c r="F229" s="12"/>
      <c r="G229" s="12"/>
      <c r="J229" s="29" t="s">
        <v>71</v>
      </c>
      <c r="K229" s="12" t="s">
        <v>211</v>
      </c>
      <c r="L229" s="35">
        <f>1-L228</f>
        <v>0.7767535070140279</v>
      </c>
      <c r="M229" s="35" t="s">
        <v>211</v>
      </c>
      <c r="N229" s="35">
        <v>2.8857715430861908E-2</v>
      </c>
      <c r="O229" s="35" t="s">
        <v>210</v>
      </c>
      <c r="P229" s="35">
        <v>1</v>
      </c>
      <c r="Q229" s="12" t="s">
        <v>210</v>
      </c>
      <c r="R229" s="35">
        <v>1</v>
      </c>
      <c r="S229" s="12"/>
      <c r="T229" s="12"/>
      <c r="U229" s="24"/>
    </row>
    <row r="230" spans="1:21" ht="15.5" x14ac:dyDescent="0.35">
      <c r="A230" s="22" t="s">
        <v>212</v>
      </c>
      <c r="B230" s="23">
        <f>'2025 Affordability Calcluations'!B6</f>
        <v>186600</v>
      </c>
      <c r="C230" s="12"/>
      <c r="D230" s="12"/>
      <c r="E230" s="12"/>
      <c r="F230" s="12"/>
      <c r="G230" s="12"/>
      <c r="J230" s="29" t="s">
        <v>72</v>
      </c>
      <c r="K230" s="12" t="s">
        <v>211</v>
      </c>
      <c r="L230" s="36">
        <v>1</v>
      </c>
      <c r="M230" s="35" t="s">
        <v>211</v>
      </c>
      <c r="N230" s="36">
        <v>1</v>
      </c>
      <c r="O230" s="36" t="s">
        <v>210</v>
      </c>
      <c r="P230" s="35">
        <f>(E242-3001)/499</f>
        <v>0.71703406813627202</v>
      </c>
      <c r="Q230" s="12" t="s">
        <v>210</v>
      </c>
      <c r="R230" s="35">
        <v>1</v>
      </c>
      <c r="S230" s="12"/>
      <c r="T230" s="12"/>
      <c r="U230" s="24"/>
    </row>
    <row r="231" spans="1:21" ht="15.5" x14ac:dyDescent="0.35">
      <c r="A231" s="25" t="s">
        <v>214</v>
      </c>
      <c r="B231" s="12"/>
      <c r="C231" s="12"/>
      <c r="D231" s="12"/>
      <c r="E231" s="12"/>
      <c r="F231" s="12"/>
      <c r="G231" s="12"/>
      <c r="J231" s="29" t="s">
        <v>72</v>
      </c>
      <c r="K231" s="12" t="s">
        <v>211</v>
      </c>
      <c r="L231" s="35">
        <v>1</v>
      </c>
      <c r="M231" s="35" t="s">
        <v>211</v>
      </c>
      <c r="N231" s="35">
        <v>1</v>
      </c>
      <c r="O231" s="35" t="s">
        <v>211</v>
      </c>
      <c r="P231" s="35">
        <f>1-P230</f>
        <v>0.28296593186372798</v>
      </c>
      <c r="Q231" s="12" t="s">
        <v>210</v>
      </c>
      <c r="R231" s="35">
        <v>1</v>
      </c>
      <c r="S231" s="12"/>
      <c r="T231" s="12"/>
      <c r="U231" s="24"/>
    </row>
    <row r="232" spans="1:21" ht="15.5" x14ac:dyDescent="0.35">
      <c r="A232" s="16"/>
      <c r="B232" s="12" t="s">
        <v>215</v>
      </c>
      <c r="C232" s="12" t="s">
        <v>208</v>
      </c>
      <c r="D232" s="12" t="s">
        <v>209</v>
      </c>
      <c r="E232" s="12" t="s">
        <v>210</v>
      </c>
      <c r="F232" s="12" t="s">
        <v>211</v>
      </c>
      <c r="G232" s="12"/>
      <c r="J232" s="29" t="s">
        <v>73</v>
      </c>
      <c r="K232" s="12" t="s">
        <v>211</v>
      </c>
      <c r="L232" s="35">
        <f>(F240-3501)/499</f>
        <v>0.836873747494988</v>
      </c>
      <c r="M232" s="36" t="s">
        <v>211</v>
      </c>
      <c r="N232" s="35">
        <v>1</v>
      </c>
      <c r="O232" s="12" t="s">
        <v>211</v>
      </c>
      <c r="P232" s="35">
        <v>1</v>
      </c>
      <c r="Q232" s="12" t="s">
        <v>210</v>
      </c>
      <c r="R232" s="35">
        <f>(E243-3501)/499</f>
        <v>0.46292585170340683</v>
      </c>
      <c r="S232" s="12"/>
      <c r="T232" s="12"/>
      <c r="U232" s="24"/>
    </row>
    <row r="233" spans="1:21" ht="15.5" x14ac:dyDescent="0.35">
      <c r="A233" s="16" t="s">
        <v>42</v>
      </c>
      <c r="B233" s="29">
        <f>B230*0.7</f>
        <v>130619.99999999999</v>
      </c>
      <c r="C233" s="29">
        <f>B233*0.3</f>
        <v>39185.999999999993</v>
      </c>
      <c r="D233" s="29">
        <f>B233*0.5</f>
        <v>65309.999999999993</v>
      </c>
      <c r="E233" s="29">
        <f>B233*0.8</f>
        <v>104496</v>
      </c>
      <c r="F233" s="29">
        <f>B233*1.2</f>
        <v>156743.99999999997</v>
      </c>
      <c r="G233" s="12"/>
      <c r="J233" s="29" t="s">
        <v>73</v>
      </c>
      <c r="K233" s="12" t="s">
        <v>213</v>
      </c>
      <c r="L233" s="35">
        <f>1-L232</f>
        <v>0.163126252505012</v>
      </c>
      <c r="M233" s="35" t="s">
        <v>211</v>
      </c>
      <c r="N233" s="35">
        <v>1</v>
      </c>
      <c r="O233" s="12" t="s">
        <v>211</v>
      </c>
      <c r="P233" s="35">
        <v>1</v>
      </c>
      <c r="Q233" s="12" t="s">
        <v>211</v>
      </c>
      <c r="R233" s="35">
        <f>1-R232</f>
        <v>0.53707414829659317</v>
      </c>
      <c r="S233" s="12"/>
      <c r="T233" s="12"/>
      <c r="U233" s="24"/>
    </row>
    <row r="234" spans="1:21" ht="15.5" x14ac:dyDescent="0.35">
      <c r="A234" s="16" t="s">
        <v>216</v>
      </c>
      <c r="B234" s="29">
        <f>B230*0.8</f>
        <v>149280</v>
      </c>
      <c r="C234" s="29">
        <f t="shared" ref="C234:C236" si="58">B234*0.3</f>
        <v>44784</v>
      </c>
      <c r="D234" s="29">
        <f t="shared" ref="D234:D236" si="59">B234*0.5</f>
        <v>74640</v>
      </c>
      <c r="E234" s="29">
        <f t="shared" ref="E234:E236" si="60">B234*0.8</f>
        <v>119424</v>
      </c>
      <c r="F234" s="29">
        <f t="shared" ref="F234:F236" si="61">B234*1.2</f>
        <v>179136</v>
      </c>
      <c r="G234" s="12"/>
      <c r="J234" s="29" t="s">
        <v>74</v>
      </c>
      <c r="K234" s="12" t="s">
        <v>213</v>
      </c>
      <c r="L234" s="35">
        <v>1</v>
      </c>
      <c r="M234" s="35" t="s">
        <v>211</v>
      </c>
      <c r="N234" s="35">
        <v>1</v>
      </c>
      <c r="O234" s="12" t="s">
        <v>211</v>
      </c>
      <c r="P234" s="35">
        <v>1</v>
      </c>
      <c r="Q234" s="12" t="s">
        <v>211</v>
      </c>
      <c r="R234" s="35">
        <v>1</v>
      </c>
      <c r="S234" s="12"/>
      <c r="T234" s="12"/>
      <c r="U234" s="24"/>
    </row>
    <row r="235" spans="1:21" ht="15.5" x14ac:dyDescent="0.35">
      <c r="A235" s="16" t="s">
        <v>217</v>
      </c>
      <c r="B235" s="29">
        <f>B230*0.9</f>
        <v>167940</v>
      </c>
      <c r="C235" s="29">
        <f t="shared" si="58"/>
        <v>50382</v>
      </c>
      <c r="D235" s="29">
        <f t="shared" si="59"/>
        <v>83970</v>
      </c>
      <c r="E235" s="29">
        <f t="shared" si="60"/>
        <v>134352</v>
      </c>
      <c r="F235" s="29">
        <f t="shared" si="61"/>
        <v>201528</v>
      </c>
      <c r="G235" s="12"/>
      <c r="J235" s="29" t="s">
        <v>74</v>
      </c>
      <c r="K235" s="12" t="s">
        <v>213</v>
      </c>
      <c r="L235" s="35">
        <v>1</v>
      </c>
      <c r="M235" s="35" t="s">
        <v>211</v>
      </c>
      <c r="N235" s="35">
        <v>0.95671342685370664</v>
      </c>
      <c r="O235" s="12" t="s">
        <v>211</v>
      </c>
      <c r="P235" s="35">
        <v>1</v>
      </c>
      <c r="Q235" s="12" t="s">
        <v>211</v>
      </c>
      <c r="R235" s="35">
        <v>1</v>
      </c>
      <c r="S235" s="12"/>
      <c r="T235" s="12"/>
      <c r="U235" s="24"/>
    </row>
    <row r="236" spans="1:21" ht="15.5" x14ac:dyDescent="0.35">
      <c r="A236" s="16" t="s">
        <v>218</v>
      </c>
      <c r="B236" s="29">
        <f>B230</f>
        <v>186600</v>
      </c>
      <c r="C236" s="29">
        <f t="shared" si="58"/>
        <v>55980</v>
      </c>
      <c r="D236" s="29">
        <f t="shared" si="59"/>
        <v>93300</v>
      </c>
      <c r="E236" s="29">
        <f t="shared" si="60"/>
        <v>149280</v>
      </c>
      <c r="F236" s="29">
        <f t="shared" si="61"/>
        <v>223920</v>
      </c>
      <c r="G236" s="12"/>
      <c r="J236" s="29" t="s">
        <v>75</v>
      </c>
      <c r="K236" s="12" t="s">
        <v>213</v>
      </c>
      <c r="L236" s="35">
        <v>1</v>
      </c>
      <c r="M236" s="35" t="s">
        <v>213</v>
      </c>
      <c r="N236" s="35">
        <v>4.3286573146293361E-2</v>
      </c>
      <c r="O236" s="12" t="s">
        <v>211</v>
      </c>
      <c r="P236" s="35">
        <v>1</v>
      </c>
      <c r="Q236" s="12" t="s">
        <v>211</v>
      </c>
      <c r="R236" s="35">
        <v>1</v>
      </c>
      <c r="S236" s="12"/>
      <c r="T236" s="12"/>
      <c r="U236" s="24"/>
    </row>
    <row r="237" spans="1:21" ht="15.5" x14ac:dyDescent="0.35">
      <c r="A237" s="16"/>
      <c r="B237" s="29"/>
      <c r="C237" s="29"/>
      <c r="D237" s="29"/>
      <c r="E237" s="29"/>
      <c r="F237" s="29"/>
      <c r="G237" s="12"/>
      <c r="H237" s="12"/>
      <c r="I237" s="12"/>
      <c r="J237" s="12"/>
      <c r="K237" s="12"/>
      <c r="L237" s="12"/>
      <c r="M237" s="12"/>
      <c r="N237" s="12"/>
      <c r="O237" s="12"/>
      <c r="P237" s="12"/>
      <c r="Q237" s="12"/>
      <c r="R237" s="12"/>
      <c r="S237" s="12"/>
      <c r="T237" s="12"/>
      <c r="U237" s="24"/>
    </row>
    <row r="238" spans="1:21" ht="15.75" customHeight="1" x14ac:dyDescent="0.35">
      <c r="A238" s="25" t="s">
        <v>220</v>
      </c>
      <c r="B238" s="12"/>
      <c r="C238" s="12"/>
      <c r="D238" s="12"/>
      <c r="E238" s="12"/>
      <c r="F238" s="12"/>
      <c r="G238" s="12"/>
      <c r="H238" s="52" t="s">
        <v>230</v>
      </c>
      <c r="I238" s="51"/>
      <c r="J238" s="51"/>
      <c r="K238" s="51"/>
      <c r="L238" s="51"/>
      <c r="M238" s="51"/>
      <c r="N238" s="51"/>
      <c r="O238" s="51"/>
      <c r="P238" s="51"/>
      <c r="Q238" s="51"/>
      <c r="R238" s="12"/>
      <c r="S238" s="12"/>
      <c r="T238" s="12"/>
      <c r="U238" s="24"/>
    </row>
    <row r="239" spans="1:21" ht="15.5" x14ac:dyDescent="0.35">
      <c r="A239" s="16"/>
      <c r="B239" s="12" t="s">
        <v>215</v>
      </c>
      <c r="C239" s="12" t="s">
        <v>208</v>
      </c>
      <c r="D239" s="12" t="s">
        <v>209</v>
      </c>
      <c r="E239" s="12" t="s">
        <v>210</v>
      </c>
      <c r="F239" s="12" t="s">
        <v>211</v>
      </c>
      <c r="G239" s="12"/>
      <c r="H239" s="51"/>
      <c r="I239" s="51"/>
      <c r="J239" s="51"/>
      <c r="K239" s="51"/>
      <c r="L239" s="51"/>
      <c r="M239" s="51"/>
      <c r="N239" s="51"/>
      <c r="O239" s="51"/>
      <c r="P239" s="51"/>
      <c r="Q239" s="51"/>
      <c r="R239" s="12"/>
      <c r="S239" s="12"/>
      <c r="T239" s="12"/>
      <c r="U239" s="24"/>
    </row>
    <row r="240" spans="1:21" ht="15.5" x14ac:dyDescent="0.35">
      <c r="A240" s="16" t="s">
        <v>42</v>
      </c>
      <c r="B240" s="29">
        <f>B233*0.3/12</f>
        <v>3265.4999999999995</v>
      </c>
      <c r="C240" s="29">
        <f>C233*0.3/12</f>
        <v>979.64999999999975</v>
      </c>
      <c r="D240" s="29">
        <f>D233*0.3/12</f>
        <v>1632.7499999999998</v>
      </c>
      <c r="E240" s="29">
        <f>E233*0.3/12</f>
        <v>2612.4</v>
      </c>
      <c r="F240" s="29">
        <f>F233*0.3/12</f>
        <v>3918.599999999999</v>
      </c>
      <c r="G240" s="12"/>
      <c r="H240" s="12"/>
      <c r="I240" s="12" t="s">
        <v>76</v>
      </c>
      <c r="J240" s="12" t="s">
        <v>165</v>
      </c>
      <c r="K240" s="12" t="s">
        <v>79</v>
      </c>
      <c r="L240" s="29" t="s">
        <v>67</v>
      </c>
      <c r="M240" s="29" t="s">
        <v>68</v>
      </c>
      <c r="N240" s="29" t="s">
        <v>69</v>
      </c>
      <c r="O240" s="29" t="s">
        <v>70</v>
      </c>
      <c r="P240" s="29" t="s">
        <v>71</v>
      </c>
      <c r="Q240" s="29" t="s">
        <v>72</v>
      </c>
      <c r="R240" s="29" t="s">
        <v>73</v>
      </c>
      <c r="S240" s="29" t="s">
        <v>74</v>
      </c>
      <c r="T240" s="29" t="s">
        <v>75</v>
      </c>
      <c r="U240" s="24"/>
    </row>
    <row r="241" spans="1:21" ht="15.5" x14ac:dyDescent="0.35">
      <c r="A241" s="16" t="s">
        <v>216</v>
      </c>
      <c r="B241" s="29">
        <f t="shared" ref="B241:F241" si="62">B234*0.3/12</f>
        <v>3732</v>
      </c>
      <c r="C241" s="29">
        <f t="shared" si="62"/>
        <v>1119.5999999999999</v>
      </c>
      <c r="D241" s="29">
        <f t="shared" si="62"/>
        <v>1866</v>
      </c>
      <c r="E241" s="29">
        <f t="shared" si="62"/>
        <v>2985.6</v>
      </c>
      <c r="F241" s="29">
        <f t="shared" si="62"/>
        <v>4478.3999999999996</v>
      </c>
      <c r="G241" s="12"/>
      <c r="H241" s="12" t="s">
        <v>42</v>
      </c>
      <c r="I241" s="12">
        <f>COUNTIFS('ADU Homeowner Survey 2025'!$AG:$AG,"2025",'ADU Homeowner Survey 2025'!$B:$B,"San Mateo County", 'ADU Homeowner Survey 2025'!$Q:$Q, "0 (studio)",'ADU Homeowner Survey 2025'!$R:$R, "Not planning to use for housing")</f>
        <v>5</v>
      </c>
      <c r="J241" s="12">
        <f>COUNTIFS('ADU Homeowner Survey 2025'!$AG:$AG,"2025",'ADU Homeowner Survey 2025'!$B:$B,"San Mateo County", 'ADU Homeowner Survey 2025'!$Q:$Q, "0 (studio)",'ADU Homeowner Survey 2025'!$R:$R, "Decline to state")</f>
        <v>4</v>
      </c>
      <c r="K241" s="12">
        <f>COUNTIFS('ADU Homeowner Survey 2025'!$AG:$AG,"2025",'ADU Homeowner Survey 2025'!$B:$B,"San Mateo County", 'ADU Homeowner Survey 2025'!$Q:$Q, "0 (studio)",'ADU Homeowner Survey 2025'!$R:$R, "Not planning to charge rent")</f>
        <v>12</v>
      </c>
      <c r="L241" s="12">
        <f>COUNTIFS('ADU Homeowner Survey 2025'!$AG:$AG,"2025",'ADU Homeowner Survey 2025'!$B:$B,"San Mateo County", 'ADU Homeowner Survey 2025'!$Q:$Q, "0 (studio)",'ADU Homeowner Survey 2025'!$R:$R, "$1 - $1,000")</f>
        <v>1</v>
      </c>
      <c r="M241" s="12">
        <f>COUNTIFS('ADU Homeowner Survey 2025'!$AG:$AG,"2025",'ADU Homeowner Survey 2025'!$B:$B,"San Mateo County", 'ADU Homeowner Survey 2025'!$Q:$Q, "0 (studio)",'ADU Homeowner Survey 2025'!$R:$R, "$1,001 - $1,500")</f>
        <v>10</v>
      </c>
      <c r="N241" s="12">
        <f>COUNTIFS('ADU Homeowner Survey 2025'!$AG:$AG,"2025",'ADU Homeowner Survey 2025'!$B:$B,"San Mateo County", 'ADU Homeowner Survey 2025'!$Q:$Q, "0 (studio)",'ADU Homeowner Survey 2025'!$R:$R, "$1,501 - $2,000")</f>
        <v>3</v>
      </c>
      <c r="O241" s="12">
        <f>COUNTIFS('ADU Homeowner Survey 2025'!$AG:$AG,"2025",'ADU Homeowner Survey 2025'!$B:$B,"San Mateo County", 'ADU Homeowner Survey 2025'!$Q:$Q, "0 (studio)",'ADU Homeowner Survey 2025'!$R:$R, "$2,001 - $2,500")</f>
        <v>2</v>
      </c>
      <c r="P241" s="12">
        <f>COUNTIFS('ADU Homeowner Survey 2025'!$AG:$AG,"2025",'ADU Homeowner Survey 2025'!$B:$B,"San Mateo County", 'ADU Homeowner Survey 2025'!$Q:$Q, "0 (studio)",'ADU Homeowner Survey 2025'!$R:$R, "$2,501 - $3,000")</f>
        <v>0</v>
      </c>
      <c r="Q241" s="12">
        <f>COUNTIFS('ADU Homeowner Survey 2025'!$AG:$AG,"2025",'ADU Homeowner Survey 2025'!$B:$B,"San Mateo County", 'ADU Homeowner Survey 2025'!$Q:$Q, "0 (studio)",'ADU Homeowner Survey 2025'!$R:$R, "$3,001 - $3,500")</f>
        <v>1</v>
      </c>
      <c r="R241" s="12">
        <f>COUNTIFS('ADU Homeowner Survey 2025'!$AG:$AG,"2025",'ADU Homeowner Survey 2025'!$B:$B,"San Mateo County", 'ADU Homeowner Survey 2025'!$Q:$Q, "0 (studio)",'ADU Homeowner Survey 2025'!$R:$R, "$3,501 - $4,000")</f>
        <v>0</v>
      </c>
      <c r="S241" s="12">
        <f>COUNTIFS('ADU Homeowner Survey 2025'!$AG:$AG,"2025",'ADU Homeowner Survey 2025'!$B:$B,"San Mateo County", 'ADU Homeowner Survey 2025'!$Q:$Q, "0 (studio)",'ADU Homeowner Survey 2025'!$R:$R, "$4,001 - $4,500")</f>
        <v>0</v>
      </c>
      <c r="T241" s="12">
        <f>COUNTIFS('ADU Homeowner Survey 2025'!$AG:$AG,"2025",'ADU Homeowner Survey 2025'!$B:$B,"San Mateo County", 'ADU Homeowner Survey 2025'!$Q:$Q, "0 (studio)",'ADU Homeowner Survey 2025'!$R:$R, "More than $4,500")</f>
        <v>0</v>
      </c>
      <c r="U241" s="24">
        <f>SUM(I241:T241)</f>
        <v>38</v>
      </c>
    </row>
    <row r="242" spans="1:21" ht="15.5" x14ac:dyDescent="0.35">
      <c r="A242" s="16" t="s">
        <v>217</v>
      </c>
      <c r="B242" s="29">
        <f t="shared" ref="B242:F242" si="63">B235*0.3/12</f>
        <v>4198.5</v>
      </c>
      <c r="C242" s="29">
        <f t="shared" si="63"/>
        <v>1259.55</v>
      </c>
      <c r="D242" s="29">
        <f t="shared" si="63"/>
        <v>2099.25</v>
      </c>
      <c r="E242" s="29">
        <f t="shared" si="63"/>
        <v>3358.7999999999997</v>
      </c>
      <c r="F242" s="29">
        <f t="shared" si="63"/>
        <v>5038.2</v>
      </c>
      <c r="G242" s="12"/>
      <c r="H242" s="12" t="s">
        <v>216</v>
      </c>
      <c r="I242" s="12">
        <f>COUNTIFS('ADU Homeowner Survey 2025'!$AG:$AG,"2025",'ADU Homeowner Survey 2025'!$B:$B,"San Mateo County", 'ADU Homeowner Survey 2025'!$Q:$Q, "1",'ADU Homeowner Survey 2025'!$R:$R, "Not planning to use for housing")</f>
        <v>6</v>
      </c>
      <c r="J242" s="12">
        <f>COUNTIFS('ADU Homeowner Survey 2025'!$AG:$AG,"2025",'ADU Homeowner Survey 2025'!$B:$B,"San Mateo County", 'ADU Homeowner Survey 2025'!$Q:$Q, "1",'ADU Homeowner Survey 2025'!$R:$R, "Decline to state")</f>
        <v>6</v>
      </c>
      <c r="K242" s="12">
        <f>COUNTIFS('ADU Homeowner Survey 2025'!$AG:$AG,"2025",'ADU Homeowner Survey 2025'!$B:$B,"San Mateo County", 'ADU Homeowner Survey 2025'!$Q:$Q, "1",'ADU Homeowner Survey 2025'!$R:$R, "Not planning to charge rent")</f>
        <v>20</v>
      </c>
      <c r="L242" s="12">
        <f>COUNTIFS('ADU Homeowner Survey 2025'!$AG:$AG,"2025",'ADU Homeowner Survey 2025'!$B:$B,"San Mateo County", 'ADU Homeowner Survey 2025'!$Q:$Q, "1",'ADU Homeowner Survey 2025'!$R:$R, "$1 - $1,000")</f>
        <v>2</v>
      </c>
      <c r="M242" s="12">
        <f>COUNTIFS('ADU Homeowner Survey 2025'!$AG:$AG,"2025",'ADU Homeowner Survey 2025'!$B:$B,"San Mateo County", 'ADU Homeowner Survey 2025'!$Q:$Q, "1",'ADU Homeowner Survey 2025'!$R:$R, "$1,001 - $1,500")</f>
        <v>0</v>
      </c>
      <c r="N242" s="12">
        <f>COUNTIFS('ADU Homeowner Survey 2025'!$AG:$AG,"2025",'ADU Homeowner Survey 2025'!$B:$B,"San Mateo County", 'ADU Homeowner Survey 2025'!$Q:$Q, "1",'ADU Homeowner Survey 2025'!$R:$R, "$1,501 - $2,000")</f>
        <v>2</v>
      </c>
      <c r="O242" s="12">
        <f>COUNTIFS('ADU Homeowner Survey 2025'!$AG:$AG,"2025",'ADU Homeowner Survey 2025'!$B:$B,"San Mateo County", 'ADU Homeowner Survey 2025'!$Q:$Q, "1",'ADU Homeowner Survey 2025'!$R:$R, "$2,001 - $2,500")</f>
        <v>5</v>
      </c>
      <c r="P242" s="12">
        <f>COUNTIFS('ADU Homeowner Survey 2025'!$AG:$AG,"2025",'ADU Homeowner Survey 2025'!$B:$B,"San Mateo County", 'ADU Homeowner Survey 2025'!$Q:$Q, "1",'ADU Homeowner Survey 2025'!$R:$R, "$2,501 - $3,000")</f>
        <v>4</v>
      </c>
      <c r="Q242" s="12">
        <f>COUNTIFS('ADU Homeowner Survey 2025'!$AG:$AG,"2025",'ADU Homeowner Survey 2025'!$B:$B,"San Mateo County", 'ADU Homeowner Survey 2025'!$Q:$Q, "1",'ADU Homeowner Survey 2025'!$R:$R, "$3,001 - $3,500")</f>
        <v>0</v>
      </c>
      <c r="R242" s="12">
        <f>COUNTIFS('ADU Homeowner Survey 2025'!$AG:$AG,"2025",'ADU Homeowner Survey 2025'!$B:$B,"San Mateo County", 'ADU Homeowner Survey 2025'!$Q:$Q, "1",'ADU Homeowner Survey 2025'!$R:$R, "$3,501 - $4,000")</f>
        <v>1</v>
      </c>
      <c r="S242" s="12">
        <f>COUNTIFS('ADU Homeowner Survey 2025'!$AG:$AG,"2025",'ADU Homeowner Survey 2025'!$B:$B,"San Mateo County", 'ADU Homeowner Survey 2025'!$Q:$Q, "1",'ADU Homeowner Survey 2025'!$R:$R, "$4,001 - $4,500")</f>
        <v>0</v>
      </c>
      <c r="T242" s="12">
        <f>COUNTIFS('ADU Homeowner Survey 2025'!$AG:$AG,"2025",'ADU Homeowner Survey 2025'!$B:$B,"San Mateo County", 'ADU Homeowner Survey 2025'!$Q:$Q, "1",'ADU Homeowner Survey 2025'!$R:$R, "More than $4,500")</f>
        <v>0</v>
      </c>
      <c r="U242" s="24">
        <f>SUM(I242:T242)</f>
        <v>46</v>
      </c>
    </row>
    <row r="243" spans="1:21" ht="15.5" x14ac:dyDescent="0.35">
      <c r="A243" s="16" t="s">
        <v>218</v>
      </c>
      <c r="B243" s="29">
        <f t="shared" ref="B243:F243" si="64">B236*0.3/12</f>
        <v>4665</v>
      </c>
      <c r="C243" s="29">
        <f t="shared" si="64"/>
        <v>1399.5</v>
      </c>
      <c r="D243" s="29">
        <f t="shared" si="64"/>
        <v>2332.5</v>
      </c>
      <c r="E243" s="29">
        <f t="shared" si="64"/>
        <v>3732</v>
      </c>
      <c r="F243" s="29">
        <f t="shared" si="64"/>
        <v>5598</v>
      </c>
      <c r="G243" s="12"/>
      <c r="H243" s="12" t="s">
        <v>217</v>
      </c>
      <c r="I243" s="12">
        <f>COUNTIFS('ADU Homeowner Survey 2025'!$AG:$AG,"2025",'ADU Homeowner Survey 2025'!$B:$B,"San Mateo County", 'ADU Homeowner Survey 2025'!$Q:$Q, "2",'ADU Homeowner Survey 2025'!$R:$R, "Not planning to use for housing")</f>
        <v>2</v>
      </c>
      <c r="J243" s="12">
        <f>COUNTIFS('ADU Homeowner Survey 2025'!$AG:$AG,"2025",'ADU Homeowner Survey 2025'!$B:$B,"San Mateo County", 'ADU Homeowner Survey 2025'!$Q:$Q, "2",'ADU Homeowner Survey 2025'!$R:$R, "Decline to state")</f>
        <v>5</v>
      </c>
      <c r="K243" s="12">
        <f>COUNTIFS('ADU Homeowner Survey 2025'!$AG:$AG,"2025",'ADU Homeowner Survey 2025'!$B:$B,"San Mateo County", 'ADU Homeowner Survey 2025'!$Q:$Q, "2",'ADU Homeowner Survey 2025'!$R:$R, "Not planning to charge rent")</f>
        <v>13</v>
      </c>
      <c r="L243" s="12">
        <f>COUNTIFS('ADU Homeowner Survey 2025'!$AG:$AG,"2025",'ADU Homeowner Survey 2025'!$B:$B,"San Mateo County", 'ADU Homeowner Survey 2025'!$Q:$Q, "2",'ADU Homeowner Survey 2025'!$R:$R, "$1 - $1,000")</f>
        <v>0</v>
      </c>
      <c r="M243" s="12">
        <f>COUNTIFS('ADU Homeowner Survey 2025'!$AG:$AG,"2025",'ADU Homeowner Survey 2025'!$B:$B,"San Mateo County", 'ADU Homeowner Survey 2025'!$Q:$Q, "2",'ADU Homeowner Survey 2025'!$R:$R, "$1,001 - $1,500")</f>
        <v>1</v>
      </c>
      <c r="N243" s="12">
        <f>COUNTIFS('ADU Homeowner Survey 2025'!$AG:$AG,"2025",'ADU Homeowner Survey 2025'!$B:$B,"San Mateo County", 'ADU Homeowner Survey 2025'!$Q:$Q, "2",'ADU Homeowner Survey 2025'!$R:$R, "$1,501 - $2,000")</f>
        <v>2</v>
      </c>
      <c r="O243" s="12">
        <f>COUNTIFS('ADU Homeowner Survey 2025'!$AG:$AG,"2025",'ADU Homeowner Survey 2025'!$B:$B,"San Mateo County", 'ADU Homeowner Survey 2025'!$Q:$Q, "2",'ADU Homeowner Survey 2025'!$R:$R, "$2,001 - $2,500")</f>
        <v>2</v>
      </c>
      <c r="P243" s="12">
        <f>COUNTIFS('ADU Homeowner Survey 2025'!$AG:$AG,"2025",'ADU Homeowner Survey 2025'!$B:$B,"San Mateo County", 'ADU Homeowner Survey 2025'!$Q:$Q, "2",'ADU Homeowner Survey 2025'!$R:$R, "$2,501 - $3,000")</f>
        <v>4</v>
      </c>
      <c r="Q243" s="12">
        <f>COUNTIFS('ADU Homeowner Survey 2025'!$AG:$AG,"2025",'ADU Homeowner Survey 2025'!$B:$B,"San Mateo County", 'ADU Homeowner Survey 2025'!$Q:$Q, "2",'ADU Homeowner Survey 2025'!$R:$R, "$3,001 - $3,500")</f>
        <v>3</v>
      </c>
      <c r="R243" s="12">
        <f>COUNTIFS('ADU Homeowner Survey 2025'!$AG:$AG,"2025",'ADU Homeowner Survey 2025'!$B:$B,"San Mateo County", 'ADU Homeowner Survey 2025'!$Q:$Q, "2",'ADU Homeowner Survey 2025'!$R:$R, "$3,501 - $4,000")</f>
        <v>1</v>
      </c>
      <c r="S243" s="12">
        <f>COUNTIFS('ADU Homeowner Survey 2025'!$AG:$AG,"2025",'ADU Homeowner Survey 2025'!$B:$B,"San Mateo County", 'ADU Homeowner Survey 2025'!$Q:$Q, "2",'ADU Homeowner Survey 2025'!$R:$R, "$4,001 - $4,500")</f>
        <v>2</v>
      </c>
      <c r="T243" s="12">
        <f>COUNTIFS('ADU Homeowner Survey 2025'!$AG:$AG,"2025",'ADU Homeowner Survey 2025'!$B:$B,"San Mateo County", 'ADU Homeowner Survey 2025'!$Q:$Q, "2",'ADU Homeowner Survey 2025'!$R:$R, "More than $4,500")</f>
        <v>0</v>
      </c>
      <c r="U243" s="24">
        <f>SUM(I243:T243)</f>
        <v>35</v>
      </c>
    </row>
    <row r="244" spans="1:21" ht="15.5" x14ac:dyDescent="0.35">
      <c r="A244" s="16"/>
      <c r="B244" s="29"/>
      <c r="C244" s="29"/>
      <c r="D244" s="29"/>
      <c r="E244" s="29"/>
      <c r="F244" s="29"/>
      <c r="G244" s="12"/>
      <c r="H244" s="12" t="s">
        <v>221</v>
      </c>
      <c r="I244" s="12">
        <f>COUNTIFS('ADU Homeowner Survey 2025'!$AG:$AG,"2025",'ADU Homeowner Survey 2025'!$B:$B,"San Mateo County", 'ADU Homeowner Survey 2025'!$Q:$Q, "3 or more",'ADU Homeowner Survey 2025'!$R:$R, "Not planning to use for housing")</f>
        <v>1</v>
      </c>
      <c r="J244" s="12">
        <f>COUNTIFS('ADU Homeowner Survey 2025'!$AG:$AG,"2025",'ADU Homeowner Survey 2025'!$B:$B,"San Mateo County", 'ADU Homeowner Survey 2025'!$Q:$Q, "3 or more",'ADU Homeowner Survey 2025'!$R:$R, "Decline to state")</f>
        <v>2</v>
      </c>
      <c r="K244" s="12">
        <f>COUNTIFS('ADU Homeowner Survey 2025'!$AG:$AG,"2025",'ADU Homeowner Survey 2025'!$B:$B,"San Mateo County", 'ADU Homeowner Survey 2025'!$Q:$Q, "3 or more",'ADU Homeowner Survey 2025'!$R:$R, "Not planning to charge rent")</f>
        <v>0</v>
      </c>
      <c r="L244" s="12">
        <f>COUNTIFS('ADU Homeowner Survey 2025'!$AG:$AG,"2025",'ADU Homeowner Survey 2025'!$B:$B,"San Mateo County", 'ADU Homeowner Survey 2025'!$Q:$Q, "3 or more",'ADU Homeowner Survey 2025'!$R:$R, "$1 - $1,000")</f>
        <v>0</v>
      </c>
      <c r="M244" s="12">
        <f>COUNTIFS('ADU Homeowner Survey 2025'!$AG:$AG,"2025",'ADU Homeowner Survey 2025'!$B:$B,"San Mateo County", 'ADU Homeowner Survey 2025'!$Q:$Q, "3 or more",'ADU Homeowner Survey 2025'!$R:$R, "$1,001 - $1,500")</f>
        <v>0</v>
      </c>
      <c r="N244" s="12">
        <f>COUNTIFS('ADU Homeowner Survey 2025'!$AG:$AG,"2025",'ADU Homeowner Survey 2025'!$B:$B,"San Mateo County", 'ADU Homeowner Survey 2025'!$Q:$Q, "3 or more",'ADU Homeowner Survey 2025'!$R:$R, "$1,501 - $2,000")</f>
        <v>0</v>
      </c>
      <c r="O244" s="12">
        <f>COUNTIFS('ADU Homeowner Survey 2025'!$AG:$AG,"2025",'ADU Homeowner Survey 2025'!$B:$B,"San Mateo County", 'ADU Homeowner Survey 2025'!$Q:$Q, "3 or more",'ADU Homeowner Survey 2025'!$R:$R, "$2,001 - $2,500")</f>
        <v>0</v>
      </c>
      <c r="P244" s="12">
        <f>COUNTIFS('ADU Homeowner Survey 2025'!$AG:$AG,"2025",'ADU Homeowner Survey 2025'!$B:$B,"San Mateo County", 'ADU Homeowner Survey 2025'!$Q:$Q, "3 or more",'ADU Homeowner Survey 2025'!$R:$R, "$2,501 - $3,000")</f>
        <v>1</v>
      </c>
      <c r="Q244" s="12">
        <f>COUNTIFS('ADU Homeowner Survey 2025'!$AG:$AG,"2025",'ADU Homeowner Survey 2025'!$B:$B,"San Mateo County", 'ADU Homeowner Survey 2025'!$Q:$Q, "3 or more",'ADU Homeowner Survey 2025'!$R:$R, "$3,001 - $3,500")</f>
        <v>0</v>
      </c>
      <c r="R244" s="12">
        <f>COUNTIFS('ADU Homeowner Survey 2025'!$AG:$AG,"2025",'ADU Homeowner Survey 2025'!$B:$B,"San Mateo County", 'ADU Homeowner Survey 2025'!$Q:$Q, "3 or more",'ADU Homeowner Survey 2025'!$R:$R, "$3,501 - $4,000")</f>
        <v>0</v>
      </c>
      <c r="S244" s="12">
        <f>COUNTIFS('ADU Homeowner Survey 2025'!$AG:$AG,"2025",'ADU Homeowner Survey 2025'!$B:$B,"San Mateo County", 'ADU Homeowner Survey 2025'!$Q:$Q, "3 or more",'ADU Homeowner Survey 2025'!$R:$R, "$4,001 - $4,500")</f>
        <v>1</v>
      </c>
      <c r="T244" s="12">
        <f>COUNTIFS('ADU Homeowner Survey 2025'!$AG:$AG,"2025",'ADU Homeowner Survey 2025'!$B:$B,"San Mateo County", 'ADU Homeowner Survey 2025'!$Q:$Q, "3 or more",'ADU Homeowner Survey 2025'!$R:$R, "More than $4,500")</f>
        <v>0</v>
      </c>
      <c r="U244" s="24">
        <f>SUM(I244:T244)</f>
        <v>5</v>
      </c>
    </row>
    <row r="245" spans="1:21" ht="15.5" x14ac:dyDescent="0.35">
      <c r="A245" s="16"/>
      <c r="B245" s="29"/>
      <c r="C245" s="29"/>
      <c r="D245" s="29"/>
      <c r="E245" s="29"/>
      <c r="F245" s="29"/>
      <c r="G245" s="12"/>
      <c r="H245" s="12" t="s">
        <v>222</v>
      </c>
      <c r="I245" s="12">
        <f t="shared" ref="I245:T245" si="65">SUM(I241:I244)</f>
        <v>14</v>
      </c>
      <c r="J245" s="12">
        <f t="shared" si="65"/>
        <v>17</v>
      </c>
      <c r="K245" s="12">
        <f t="shared" si="65"/>
        <v>45</v>
      </c>
      <c r="L245" s="12">
        <f t="shared" si="65"/>
        <v>3</v>
      </c>
      <c r="M245" s="12">
        <f t="shared" si="65"/>
        <v>11</v>
      </c>
      <c r="N245" s="12">
        <f t="shared" si="65"/>
        <v>7</v>
      </c>
      <c r="O245" s="12">
        <f t="shared" si="65"/>
        <v>9</v>
      </c>
      <c r="P245" s="12">
        <f t="shared" si="65"/>
        <v>9</v>
      </c>
      <c r="Q245" s="12">
        <f t="shared" si="65"/>
        <v>4</v>
      </c>
      <c r="R245" s="12">
        <f t="shared" si="65"/>
        <v>2</v>
      </c>
      <c r="S245" s="12">
        <f t="shared" si="65"/>
        <v>3</v>
      </c>
      <c r="T245" s="12">
        <f t="shared" si="65"/>
        <v>0</v>
      </c>
      <c r="U245" s="24">
        <f t="shared" ref="U245" si="66">SUM(I245:T245)</f>
        <v>124</v>
      </c>
    </row>
    <row r="246" spans="1:21" ht="15.5" x14ac:dyDescent="0.35">
      <c r="A246" s="16"/>
      <c r="B246" s="29"/>
      <c r="C246" s="29"/>
      <c r="D246" s="29"/>
      <c r="E246" s="29"/>
      <c r="F246" s="29"/>
      <c r="G246" s="12"/>
      <c r="H246" s="12"/>
      <c r="I246" s="12"/>
      <c r="J246" s="12"/>
      <c r="K246" s="12"/>
      <c r="L246" s="12"/>
      <c r="M246" s="12"/>
      <c r="N246" s="12"/>
      <c r="O246" s="12"/>
      <c r="P246" s="12"/>
      <c r="Q246" s="12"/>
      <c r="R246" s="12"/>
      <c r="S246" s="12"/>
      <c r="T246" s="12"/>
      <c r="U246" s="24"/>
    </row>
    <row r="247" spans="1:21" ht="15.75" customHeight="1" x14ac:dyDescent="0.35">
      <c r="A247" s="16"/>
      <c r="B247" s="12"/>
      <c r="C247" s="12"/>
      <c r="D247" s="12"/>
      <c r="E247" s="12"/>
      <c r="F247" s="12"/>
      <c r="G247" s="12"/>
      <c r="H247" s="50" t="s">
        <v>230</v>
      </c>
      <c r="I247" s="47"/>
      <c r="J247" s="47"/>
      <c r="K247" s="47"/>
      <c r="L247" s="47"/>
      <c r="M247" s="47"/>
      <c r="N247" s="47"/>
      <c r="O247" s="47"/>
      <c r="P247" s="47"/>
      <c r="Q247" s="47"/>
      <c r="R247" s="12"/>
      <c r="S247" s="12"/>
      <c r="T247" s="12"/>
      <c r="U247" s="24"/>
    </row>
    <row r="248" spans="1:21" ht="15.5" x14ac:dyDescent="0.35">
      <c r="A248" s="25" t="s">
        <v>220</v>
      </c>
      <c r="B248" s="12"/>
      <c r="C248" s="12"/>
      <c r="D248" s="12"/>
      <c r="E248" s="12"/>
      <c r="F248" s="12"/>
      <c r="G248" s="12"/>
      <c r="H248" s="47"/>
      <c r="I248" s="47"/>
      <c r="J248" s="47"/>
      <c r="K248" s="47"/>
      <c r="L248" s="47"/>
      <c r="M248" s="47"/>
      <c r="N248" s="47"/>
      <c r="O248" s="47"/>
      <c r="P248" s="47"/>
      <c r="Q248" s="47"/>
      <c r="R248" s="12"/>
      <c r="S248" s="12"/>
      <c r="T248" s="12"/>
      <c r="U248" s="24"/>
    </row>
    <row r="249" spans="1:21" ht="15.5" x14ac:dyDescent="0.35">
      <c r="A249" s="16"/>
      <c r="B249" s="12" t="s">
        <v>215</v>
      </c>
      <c r="C249" s="12" t="s">
        <v>208</v>
      </c>
      <c r="D249" s="12" t="s">
        <v>209</v>
      </c>
      <c r="E249" s="12" t="s">
        <v>210</v>
      </c>
      <c r="F249" s="12" t="s">
        <v>211</v>
      </c>
      <c r="G249" s="12"/>
      <c r="H249" s="12"/>
      <c r="I249" s="12"/>
      <c r="J249" s="12" t="s">
        <v>165</v>
      </c>
      <c r="K249" s="12" t="s">
        <v>208</v>
      </c>
      <c r="L249" s="12" t="s">
        <v>223</v>
      </c>
      <c r="M249" s="12" t="s">
        <v>210</v>
      </c>
      <c r="N249" s="12" t="s">
        <v>211</v>
      </c>
      <c r="O249" s="12" t="s">
        <v>224</v>
      </c>
      <c r="P249" s="12"/>
      <c r="Q249" s="12"/>
      <c r="R249" s="12"/>
      <c r="S249" s="12"/>
      <c r="T249" s="12"/>
      <c r="U249" s="24"/>
    </row>
    <row r="250" spans="1:21" ht="15.5" x14ac:dyDescent="0.35">
      <c r="A250" s="16" t="s">
        <v>42</v>
      </c>
      <c r="B250" s="29" t="s">
        <v>71</v>
      </c>
      <c r="C250" s="29" t="s">
        <v>67</v>
      </c>
      <c r="D250" s="29" t="s">
        <v>69</v>
      </c>
      <c r="E250" s="29" t="s">
        <v>71</v>
      </c>
      <c r="F250" s="29" t="s">
        <v>73</v>
      </c>
      <c r="G250" s="12"/>
      <c r="H250" s="12" t="s">
        <v>42</v>
      </c>
      <c r="I250" s="12">
        <f t="shared" ref="I250:J253" si="67">I241</f>
        <v>5</v>
      </c>
      <c r="J250" s="35">
        <f t="shared" si="67"/>
        <v>4</v>
      </c>
      <c r="K250" s="35">
        <f>K241+L241*L220</f>
        <v>12.979649999999999</v>
      </c>
      <c r="L250" s="35">
        <f>L241*L221+M241*L222+N241*L224</f>
        <v>10.812434168336672</v>
      </c>
      <c r="M250" s="35">
        <f>N241*L225+O241</f>
        <v>4.2079158316633283</v>
      </c>
      <c r="N250" s="35">
        <f>Q241</f>
        <v>1</v>
      </c>
      <c r="O250" s="35">
        <v>0</v>
      </c>
      <c r="P250" s="35">
        <f>SUM(I250:O250)</f>
        <v>38</v>
      </c>
      <c r="Q250" s="12"/>
      <c r="R250" s="12"/>
      <c r="S250" s="12"/>
      <c r="T250" s="12"/>
      <c r="U250" s="24"/>
    </row>
    <row r="251" spans="1:21" ht="15.5" x14ac:dyDescent="0.35">
      <c r="A251" s="16" t="s">
        <v>216</v>
      </c>
      <c r="B251" s="29" t="s">
        <v>73</v>
      </c>
      <c r="C251" s="29" t="s">
        <v>68</v>
      </c>
      <c r="D251" s="29" t="s">
        <v>69</v>
      </c>
      <c r="E251" s="29" t="s">
        <v>71</v>
      </c>
      <c r="F251" s="29" t="s">
        <v>74</v>
      </c>
      <c r="G251" s="12"/>
      <c r="H251" s="12" t="s">
        <v>216</v>
      </c>
      <c r="I251" s="12">
        <f t="shared" si="67"/>
        <v>6</v>
      </c>
      <c r="J251" s="35">
        <f t="shared" si="67"/>
        <v>6</v>
      </c>
      <c r="K251" s="35">
        <f>K242+L242</f>
        <v>22</v>
      </c>
      <c r="L251" s="35">
        <f>N242*N224</f>
        <v>1.4629258517034067</v>
      </c>
      <c r="M251" s="7">
        <f>N242*N225+O242+P242*N228</f>
        <v>9.421643286573147</v>
      </c>
      <c r="N251" s="35">
        <f>P242*N229+R242</f>
        <v>1.1154308617234476</v>
      </c>
      <c r="O251" s="35">
        <v>0</v>
      </c>
      <c r="P251" s="35">
        <f t="shared" ref="P251:P254" si="68">SUM(I251:O251)</f>
        <v>45.999999999999993</v>
      </c>
      <c r="Q251" s="12"/>
      <c r="R251" s="12"/>
      <c r="S251" s="12"/>
      <c r="T251" s="12"/>
      <c r="U251" s="24"/>
    </row>
    <row r="252" spans="1:21" ht="15.5" x14ac:dyDescent="0.35">
      <c r="A252" s="16" t="s">
        <v>217</v>
      </c>
      <c r="B252" s="29" t="s">
        <v>74</v>
      </c>
      <c r="C252" s="29" t="s">
        <v>68</v>
      </c>
      <c r="D252" s="29" t="s">
        <v>70</v>
      </c>
      <c r="E252" s="29" t="s">
        <v>72</v>
      </c>
      <c r="F252" s="29" t="s">
        <v>75</v>
      </c>
      <c r="G252" s="12"/>
      <c r="H252" s="12" t="s">
        <v>217</v>
      </c>
      <c r="I252" s="12">
        <f t="shared" si="67"/>
        <v>2</v>
      </c>
      <c r="J252" s="35">
        <f t="shared" si="67"/>
        <v>5</v>
      </c>
      <c r="K252" s="35">
        <f>K243+L243+M243*P222</f>
        <v>13.518136272545091</v>
      </c>
      <c r="L252" s="35">
        <f>M243*P223+N243+O243*P226</f>
        <v>2.8756513026052106</v>
      </c>
      <c r="M252" s="35">
        <f>O243*P227+P243+Q243*P230</f>
        <v>7.7573146292585156</v>
      </c>
      <c r="N252" s="35">
        <f>Q243*P231+R243+S243</f>
        <v>3.8488977955911841</v>
      </c>
      <c r="O252" s="35">
        <v>0</v>
      </c>
      <c r="P252" s="35">
        <f t="shared" si="68"/>
        <v>35</v>
      </c>
      <c r="Q252" s="12"/>
      <c r="R252" s="12"/>
      <c r="S252" s="12"/>
      <c r="T252" s="12"/>
      <c r="U252" s="24"/>
    </row>
    <row r="253" spans="1:21" ht="15.5" x14ac:dyDescent="0.35">
      <c r="A253" s="16" t="s">
        <v>218</v>
      </c>
      <c r="B253" s="29" t="s">
        <v>75</v>
      </c>
      <c r="C253" s="29" t="s">
        <v>68</v>
      </c>
      <c r="D253" s="29" t="s">
        <v>70</v>
      </c>
      <c r="E253" s="29" t="s">
        <v>73</v>
      </c>
      <c r="F253" s="29" t="s">
        <v>75</v>
      </c>
      <c r="G253" s="12"/>
      <c r="H253" s="12" t="s">
        <v>221</v>
      </c>
      <c r="I253" s="12">
        <f t="shared" si="67"/>
        <v>1</v>
      </c>
      <c r="J253" s="35">
        <f t="shared" si="67"/>
        <v>2</v>
      </c>
      <c r="K253" s="35">
        <f>K244</f>
        <v>0</v>
      </c>
      <c r="L253" s="35">
        <v>0</v>
      </c>
      <c r="M253" s="35">
        <f>P244</f>
        <v>1</v>
      </c>
      <c r="N253" s="35">
        <f>S244</f>
        <v>1</v>
      </c>
      <c r="O253" s="35">
        <v>0</v>
      </c>
      <c r="P253" s="35">
        <f t="shared" si="68"/>
        <v>5</v>
      </c>
      <c r="Q253" s="12"/>
      <c r="R253" s="12"/>
      <c r="S253" s="12"/>
      <c r="T253" s="12"/>
      <c r="U253" s="24"/>
    </row>
    <row r="254" spans="1:21" ht="15.5" x14ac:dyDescent="0.35">
      <c r="A254" s="12"/>
      <c r="B254" s="12"/>
      <c r="C254" s="12"/>
      <c r="D254" s="12"/>
      <c r="E254" s="12"/>
      <c r="F254" s="12"/>
      <c r="G254" s="12"/>
      <c r="H254" s="12" t="s">
        <v>222</v>
      </c>
      <c r="I254" s="12">
        <f t="shared" ref="I254" si="69">I245</f>
        <v>14</v>
      </c>
      <c r="J254" s="35">
        <f>SUM(J250:J253)</f>
        <v>17</v>
      </c>
      <c r="K254" s="35">
        <f t="shared" ref="K254:O254" si="70">SUM(K250:K253)</f>
        <v>48.497786272545092</v>
      </c>
      <c r="L254" s="35">
        <f t="shared" si="70"/>
        <v>15.151011322645289</v>
      </c>
      <c r="M254" s="35">
        <f t="shared" si="70"/>
        <v>22.386873747494992</v>
      </c>
      <c r="N254" s="35">
        <f t="shared" si="70"/>
        <v>6.9643286573146312</v>
      </c>
      <c r="O254" s="35">
        <f t="shared" si="70"/>
        <v>0</v>
      </c>
      <c r="P254" s="35">
        <f t="shared" si="68"/>
        <v>124</v>
      </c>
      <c r="Q254" s="12"/>
      <c r="R254" s="12"/>
      <c r="S254" s="12"/>
      <c r="T254" s="12"/>
      <c r="U254" s="24"/>
    </row>
    <row r="255" spans="1:21" ht="16" thickBot="1" x14ac:dyDescent="0.4">
      <c r="A255" s="26"/>
      <c r="B255" s="26"/>
      <c r="C255" s="26"/>
      <c r="D255" s="26"/>
      <c r="E255" s="26"/>
      <c r="F255" s="26"/>
      <c r="G255" s="26"/>
      <c r="H255" s="26"/>
      <c r="I255" s="26"/>
      <c r="J255" s="40"/>
      <c r="K255" s="40"/>
      <c r="L255" s="40"/>
      <c r="M255" s="40"/>
      <c r="N255" s="40"/>
      <c r="O255" s="40"/>
      <c r="P255" s="40"/>
      <c r="Q255" s="26"/>
      <c r="R255" s="26"/>
      <c r="S255" s="26"/>
      <c r="T255" s="26"/>
      <c r="U255" s="27"/>
    </row>
    <row r="256" spans="1:21" ht="15.5" x14ac:dyDescent="0.35">
      <c r="A256" s="12"/>
      <c r="B256" s="12"/>
      <c r="C256" s="12"/>
      <c r="D256" s="12"/>
      <c r="E256" s="12"/>
      <c r="F256" s="12"/>
      <c r="G256" s="12"/>
      <c r="H256" s="12"/>
      <c r="I256" s="12"/>
      <c r="J256" s="35"/>
      <c r="K256" s="35"/>
      <c r="L256" s="35"/>
      <c r="M256" s="35"/>
      <c r="N256" s="35"/>
      <c r="O256" s="35"/>
      <c r="P256" s="35"/>
      <c r="Q256" s="12"/>
      <c r="R256" s="12"/>
      <c r="S256" s="12"/>
      <c r="T256" s="12"/>
      <c r="U256" s="12"/>
    </row>
    <row r="257" spans="1:21" ht="15" thickBot="1" x14ac:dyDescent="0.4"/>
    <row r="258" spans="1:21" ht="15.5" x14ac:dyDescent="0.35">
      <c r="A258" s="14" t="s">
        <v>151</v>
      </c>
      <c r="B258" s="20"/>
      <c r="C258" s="20"/>
      <c r="D258" s="20"/>
      <c r="E258" s="20"/>
      <c r="F258" s="20"/>
      <c r="G258" s="20"/>
      <c r="H258" s="20"/>
      <c r="I258" s="20"/>
      <c r="J258" s="20"/>
      <c r="K258" s="20"/>
      <c r="L258" s="20"/>
      <c r="M258" s="20"/>
      <c r="N258" s="20"/>
      <c r="O258" s="20"/>
      <c r="P258" s="20"/>
      <c r="Q258" s="20"/>
      <c r="R258" s="20"/>
      <c r="S258" s="20"/>
      <c r="T258" s="20"/>
      <c r="U258" s="21"/>
    </row>
    <row r="259" spans="1:21" ht="15.5" x14ac:dyDescent="0.35">
      <c r="A259" s="16"/>
      <c r="B259" s="12"/>
      <c r="C259" s="12"/>
      <c r="D259" s="12"/>
      <c r="E259" s="12"/>
      <c r="F259" s="12"/>
      <c r="G259" s="12"/>
      <c r="K259" s="5" t="s">
        <v>42</v>
      </c>
      <c r="L259" s="5" t="s">
        <v>42</v>
      </c>
      <c r="M259" s="5" t="s">
        <v>203</v>
      </c>
      <c r="N259" s="5" t="s">
        <v>203</v>
      </c>
      <c r="O259" s="5" t="s">
        <v>204</v>
      </c>
      <c r="P259" s="5" t="s">
        <v>204</v>
      </c>
      <c r="Q259" s="5" t="s">
        <v>205</v>
      </c>
      <c r="R259" s="5" t="s">
        <v>205</v>
      </c>
      <c r="S259" s="12"/>
      <c r="T259" s="12"/>
      <c r="U259" s="24"/>
    </row>
    <row r="260" spans="1:21" ht="15.5" x14ac:dyDescent="0.35">
      <c r="A260" s="16"/>
      <c r="B260" s="12"/>
      <c r="C260" s="12"/>
      <c r="D260" s="12"/>
      <c r="E260" s="12"/>
      <c r="F260" s="12"/>
      <c r="G260" s="12"/>
      <c r="J260" s="37"/>
      <c r="K260" s="37" t="s">
        <v>206</v>
      </c>
      <c r="L260" s="37" t="s">
        <v>207</v>
      </c>
      <c r="M260" s="37" t="s">
        <v>206</v>
      </c>
      <c r="N260" s="37" t="s">
        <v>207</v>
      </c>
      <c r="O260" s="37" t="s">
        <v>206</v>
      </c>
      <c r="P260" s="37" t="s">
        <v>207</v>
      </c>
      <c r="Q260" s="37" t="s">
        <v>206</v>
      </c>
      <c r="R260" s="37" t="s">
        <v>207</v>
      </c>
      <c r="S260" s="12"/>
      <c r="T260" s="12"/>
      <c r="U260" s="24"/>
    </row>
    <row r="261" spans="1:21" ht="15.5" x14ac:dyDescent="0.35">
      <c r="A261" s="16"/>
      <c r="B261" s="12"/>
      <c r="C261" s="12"/>
      <c r="D261" s="12"/>
      <c r="E261" s="12"/>
      <c r="F261" s="12"/>
      <c r="G261" s="12"/>
      <c r="J261" s="29" t="s">
        <v>67</v>
      </c>
      <c r="K261" s="12" t="s">
        <v>208</v>
      </c>
      <c r="L261" s="36">
        <v>1</v>
      </c>
      <c r="M261" s="12" t="s">
        <v>208</v>
      </c>
      <c r="N261" s="38">
        <v>1</v>
      </c>
      <c r="O261" s="36" t="s">
        <v>208</v>
      </c>
      <c r="P261" s="35">
        <v>1</v>
      </c>
      <c r="Q261" s="12" t="s">
        <v>208</v>
      </c>
      <c r="R261" s="35">
        <v>1</v>
      </c>
      <c r="S261" s="12"/>
      <c r="T261" s="12"/>
      <c r="U261" s="24"/>
    </row>
    <row r="262" spans="1:21" ht="15.5" x14ac:dyDescent="0.35">
      <c r="A262" s="16"/>
      <c r="B262" s="12"/>
      <c r="C262" s="12"/>
      <c r="D262" s="12"/>
      <c r="E262" s="12"/>
      <c r="F262" s="12"/>
      <c r="G262" s="12"/>
      <c r="J262" s="29" t="s">
        <v>67</v>
      </c>
      <c r="K262" s="12" t="s">
        <v>208</v>
      </c>
      <c r="L262" s="35">
        <v>1</v>
      </c>
      <c r="M262" s="12" t="s">
        <v>208</v>
      </c>
      <c r="N262" s="38">
        <v>1</v>
      </c>
      <c r="O262" s="35" t="s">
        <v>208</v>
      </c>
      <c r="P262" s="35">
        <v>1</v>
      </c>
      <c r="Q262" s="12" t="s">
        <v>208</v>
      </c>
      <c r="R262" s="35">
        <v>1</v>
      </c>
      <c r="S262" s="12"/>
      <c r="T262" s="12"/>
      <c r="U262" s="24"/>
    </row>
    <row r="263" spans="1:21" ht="15.5" x14ac:dyDescent="0.35">
      <c r="A263" s="16"/>
      <c r="B263" s="12"/>
      <c r="C263" s="12"/>
      <c r="D263" s="12"/>
      <c r="E263" s="12"/>
      <c r="F263" s="12"/>
      <c r="G263" s="12"/>
      <c r="J263" s="29" t="s">
        <v>68</v>
      </c>
      <c r="K263" s="12" t="s">
        <v>208</v>
      </c>
      <c r="L263" s="35">
        <f>(C282-1001)/499</f>
        <v>4.7695390781563034E-2</v>
      </c>
      <c r="M263" s="38" t="s">
        <v>208</v>
      </c>
      <c r="N263" s="35">
        <f>(C283-1001)/499</f>
        <v>0.3410821643286574</v>
      </c>
      <c r="O263" s="35" t="s">
        <v>208</v>
      </c>
      <c r="P263" s="35">
        <f>(C284-1001)/499</f>
        <v>0.63446893787575132</v>
      </c>
      <c r="Q263" s="12" t="s">
        <v>208</v>
      </c>
      <c r="R263" s="35">
        <f>(C285-1001)/499</f>
        <v>0.92785571142284573</v>
      </c>
      <c r="S263" s="12"/>
      <c r="T263" s="12"/>
      <c r="U263" s="24"/>
    </row>
    <row r="264" spans="1:21" ht="15.5" x14ac:dyDescent="0.35">
      <c r="A264" s="16"/>
      <c r="B264" s="12"/>
      <c r="C264" s="12"/>
      <c r="D264" s="12"/>
      <c r="E264" s="12"/>
      <c r="F264" s="12"/>
      <c r="G264" s="12"/>
      <c r="J264" s="29" t="s">
        <v>68</v>
      </c>
      <c r="K264" s="12" t="s">
        <v>209</v>
      </c>
      <c r="L264" s="35">
        <f>1-L263</f>
        <v>0.95230460921843696</v>
      </c>
      <c r="M264" s="38" t="s">
        <v>209</v>
      </c>
      <c r="N264" s="35">
        <f>1-N263</f>
        <v>0.65891783567134254</v>
      </c>
      <c r="O264" s="35" t="s">
        <v>209</v>
      </c>
      <c r="P264" s="35">
        <f>1-P263</f>
        <v>0.36553106212424868</v>
      </c>
      <c r="Q264" s="12" t="s">
        <v>209</v>
      </c>
      <c r="R264" s="35">
        <f>1-R263</f>
        <v>7.214428857715427E-2</v>
      </c>
      <c r="S264" s="12"/>
      <c r="T264" s="12"/>
      <c r="U264" s="24"/>
    </row>
    <row r="265" spans="1:21" ht="15.5" x14ac:dyDescent="0.35">
      <c r="A265" s="16"/>
      <c r="B265" s="12"/>
      <c r="C265" s="12"/>
      <c r="D265" s="12"/>
      <c r="E265" s="12"/>
      <c r="F265" s="12"/>
      <c r="G265" s="12"/>
      <c r="J265" s="29" t="s">
        <v>69</v>
      </c>
      <c r="K265" s="12" t="s">
        <v>209</v>
      </c>
      <c r="L265" s="35">
        <f>(D282-1501)/499</f>
        <v>0.4148296593186373</v>
      </c>
      <c r="M265" s="38" t="s">
        <v>209</v>
      </c>
      <c r="N265" s="36">
        <f>(D282-1501)/499</f>
        <v>0.4148296593186373</v>
      </c>
      <c r="O265" s="12" t="s">
        <v>209</v>
      </c>
      <c r="P265" s="35">
        <v>1</v>
      </c>
      <c r="Q265" s="12" t="s">
        <v>209</v>
      </c>
      <c r="R265" s="35">
        <v>1</v>
      </c>
      <c r="S265" s="12"/>
      <c r="T265" s="12"/>
      <c r="U265" s="24"/>
    </row>
    <row r="266" spans="1:21" ht="15" customHeight="1" x14ac:dyDescent="0.35">
      <c r="A266" s="16"/>
      <c r="B266" s="12"/>
      <c r="C266" s="12"/>
      <c r="D266" s="12"/>
      <c r="E266" s="12"/>
      <c r="F266" s="12"/>
      <c r="G266" s="12"/>
      <c r="J266" s="29" t="s">
        <v>69</v>
      </c>
      <c r="K266" s="12" t="s">
        <v>210</v>
      </c>
      <c r="L266" s="35">
        <f>1-L265</f>
        <v>0.58517034068136264</v>
      </c>
      <c r="M266" s="38" t="s">
        <v>210</v>
      </c>
      <c r="N266" s="35">
        <f>1-N265</f>
        <v>0.58517034068136264</v>
      </c>
      <c r="O266" s="12" t="s">
        <v>209</v>
      </c>
      <c r="P266" s="35">
        <v>1</v>
      </c>
      <c r="Q266" s="12" t="s">
        <v>209</v>
      </c>
      <c r="R266" s="35">
        <v>1</v>
      </c>
      <c r="S266" s="12"/>
      <c r="T266" s="12"/>
      <c r="U266" s="24"/>
    </row>
    <row r="267" spans="1:21" ht="15" customHeight="1" x14ac:dyDescent="0.35">
      <c r="A267" s="16"/>
      <c r="B267" s="12"/>
      <c r="C267" s="12"/>
      <c r="D267" s="12"/>
      <c r="E267" s="12"/>
      <c r="F267" s="12"/>
      <c r="G267" s="12"/>
      <c r="J267" s="29" t="s">
        <v>70</v>
      </c>
      <c r="K267" s="12" t="s">
        <v>210</v>
      </c>
      <c r="L267" s="36">
        <v>1</v>
      </c>
      <c r="M267" s="38" t="s">
        <v>210</v>
      </c>
      <c r="N267" s="35">
        <v>1</v>
      </c>
      <c r="O267" s="36" t="s">
        <v>209</v>
      </c>
      <c r="P267" s="35">
        <f>(D284-2001)/499</f>
        <v>0.39078156312625251</v>
      </c>
      <c r="Q267" s="12" t="s">
        <v>209</v>
      </c>
      <c r="R267" s="35">
        <f>(D285-2001)/499</f>
        <v>0.87975951903807614</v>
      </c>
      <c r="S267" s="12"/>
      <c r="T267" s="12"/>
      <c r="U267" s="24"/>
    </row>
    <row r="268" spans="1:21" ht="15" customHeight="1" x14ac:dyDescent="0.35">
      <c r="A268" s="16"/>
      <c r="B268" s="12"/>
      <c r="C268" s="12"/>
      <c r="D268" s="12"/>
      <c r="E268" s="12"/>
      <c r="F268" s="12"/>
      <c r="G268" s="12"/>
      <c r="J268" s="29" t="s">
        <v>70</v>
      </c>
      <c r="K268" s="12" t="s">
        <v>210</v>
      </c>
      <c r="L268" s="36">
        <v>1</v>
      </c>
      <c r="M268" s="38" t="s">
        <v>210</v>
      </c>
      <c r="N268" s="35">
        <v>1</v>
      </c>
      <c r="O268" s="36" t="s">
        <v>210</v>
      </c>
      <c r="P268" s="35">
        <f>1-P267</f>
        <v>0.60921843687374744</v>
      </c>
      <c r="Q268" s="12" t="s">
        <v>210</v>
      </c>
      <c r="R268" s="35">
        <f>1-R267</f>
        <v>0.12024048096192386</v>
      </c>
      <c r="S268" s="12"/>
      <c r="T268" s="12"/>
      <c r="U268" s="24"/>
    </row>
    <row r="269" spans="1:21" ht="15.5" x14ac:dyDescent="0.35">
      <c r="A269" s="16"/>
      <c r="B269" s="12"/>
      <c r="C269" s="12"/>
      <c r="D269" s="12"/>
      <c r="E269" s="12"/>
      <c r="F269" s="12"/>
      <c r="G269" s="12"/>
      <c r="J269" s="29" t="s">
        <v>71</v>
      </c>
      <c r="K269" s="12" t="s">
        <v>210</v>
      </c>
      <c r="L269" s="35">
        <f>(E282-2501)/499</f>
        <v>0.46452905811623191</v>
      </c>
      <c r="M269" s="38" t="s">
        <v>210</v>
      </c>
      <c r="N269" s="35">
        <f>(E282-2501)/499</f>
        <v>0.46452905811623191</v>
      </c>
      <c r="O269" s="12" t="s">
        <v>210</v>
      </c>
      <c r="P269" s="35">
        <v>1</v>
      </c>
      <c r="Q269" s="12" t="s">
        <v>210</v>
      </c>
      <c r="R269" s="35">
        <v>1</v>
      </c>
      <c r="S269" s="12"/>
      <c r="T269" s="12"/>
      <c r="U269" s="24"/>
    </row>
    <row r="270" spans="1:21" ht="15.5" x14ac:dyDescent="0.35">
      <c r="A270" s="16"/>
      <c r="B270" s="12"/>
      <c r="C270" s="12"/>
      <c r="D270" s="12"/>
      <c r="E270" s="12"/>
      <c r="F270" s="12"/>
      <c r="G270" s="12"/>
      <c r="J270" s="29" t="s">
        <v>71</v>
      </c>
      <c r="K270" s="12" t="s">
        <v>211</v>
      </c>
      <c r="L270" s="35">
        <f>1-L269</f>
        <v>0.53547094188376809</v>
      </c>
      <c r="M270" s="38" t="s">
        <v>211</v>
      </c>
      <c r="N270" s="35">
        <f>1-N269</f>
        <v>0.53547094188376809</v>
      </c>
      <c r="O270" s="12" t="s">
        <v>210</v>
      </c>
      <c r="P270" s="35">
        <v>1</v>
      </c>
      <c r="Q270" s="12" t="s">
        <v>210</v>
      </c>
      <c r="R270" s="35">
        <v>1</v>
      </c>
      <c r="S270" s="12"/>
      <c r="T270" s="12"/>
      <c r="U270" s="24"/>
    </row>
    <row r="271" spans="1:21" ht="15.5" x14ac:dyDescent="0.35">
      <c r="A271" s="22" t="s">
        <v>212</v>
      </c>
      <c r="B271" s="23">
        <f>'2025 Affordability Calcluations'!B8</f>
        <v>195200</v>
      </c>
      <c r="C271" s="12"/>
      <c r="D271" s="12"/>
      <c r="E271" s="12"/>
      <c r="F271" s="12"/>
      <c r="G271" s="12"/>
      <c r="J271" s="29" t="s">
        <v>72</v>
      </c>
      <c r="K271" s="12" t="s">
        <v>211</v>
      </c>
      <c r="L271" s="36">
        <v>1</v>
      </c>
      <c r="M271" s="38" t="s">
        <v>211</v>
      </c>
      <c r="N271" s="35">
        <v>1</v>
      </c>
      <c r="O271" s="36" t="s">
        <v>210</v>
      </c>
      <c r="P271" s="35">
        <v>1</v>
      </c>
      <c r="Q271" s="12" t="s">
        <v>210</v>
      </c>
      <c r="R271" s="35">
        <v>1</v>
      </c>
      <c r="S271" s="12"/>
      <c r="T271" s="12"/>
      <c r="U271" s="24"/>
    </row>
    <row r="272" spans="1:21" ht="15.5" x14ac:dyDescent="0.35">
      <c r="A272" s="25" t="s">
        <v>214</v>
      </c>
      <c r="B272" s="12"/>
      <c r="C272" s="12"/>
      <c r="D272" s="12"/>
      <c r="E272" s="12"/>
      <c r="F272" s="12"/>
      <c r="G272" s="12"/>
      <c r="J272" s="29" t="s">
        <v>72</v>
      </c>
      <c r="K272" s="12" t="s">
        <v>211</v>
      </c>
      <c r="L272" s="35">
        <v>1</v>
      </c>
      <c r="M272" s="38" t="s">
        <v>211</v>
      </c>
      <c r="N272" s="35">
        <v>1</v>
      </c>
      <c r="O272" s="35" t="s">
        <v>210</v>
      </c>
      <c r="P272" s="35">
        <v>1</v>
      </c>
      <c r="Q272" s="12" t="s">
        <v>210</v>
      </c>
      <c r="R272" s="35">
        <v>1</v>
      </c>
      <c r="S272" s="12"/>
      <c r="T272" s="12"/>
      <c r="U272" s="24"/>
    </row>
    <row r="273" spans="1:21" ht="15.5" x14ac:dyDescent="0.35">
      <c r="A273" s="16"/>
      <c r="B273" s="12" t="s">
        <v>215</v>
      </c>
      <c r="C273" s="12" t="s">
        <v>208</v>
      </c>
      <c r="D273" s="12" t="s">
        <v>209</v>
      </c>
      <c r="E273" s="12" t="s">
        <v>210</v>
      </c>
      <c r="F273" s="12" t="s">
        <v>211</v>
      </c>
      <c r="G273" s="12"/>
      <c r="J273" s="29" t="s">
        <v>73</v>
      </c>
      <c r="K273" s="12" t="s">
        <v>211</v>
      </c>
      <c r="L273" s="35">
        <v>1</v>
      </c>
      <c r="M273" s="38" t="s">
        <v>211</v>
      </c>
      <c r="N273" s="36">
        <v>1</v>
      </c>
      <c r="O273" s="12" t="s">
        <v>210</v>
      </c>
      <c r="P273" s="35">
        <f>(E284-3501)/499</f>
        <v>2.5250501002003826E-2</v>
      </c>
      <c r="Q273" s="12" t="s">
        <v>210</v>
      </c>
      <c r="R273" s="35">
        <f>(E285-3501)/499</f>
        <v>0.80761523046092187</v>
      </c>
      <c r="S273" s="12"/>
      <c r="T273" s="12"/>
      <c r="U273" s="24"/>
    </row>
    <row r="274" spans="1:21" ht="15.5" x14ac:dyDescent="0.35">
      <c r="A274" s="16" t="s">
        <v>42</v>
      </c>
      <c r="B274" s="29">
        <f>B271*0.7</f>
        <v>136640</v>
      </c>
      <c r="C274" s="29">
        <f>B274*0.3</f>
        <v>40992</v>
      </c>
      <c r="D274" s="29">
        <f>B274*0.5</f>
        <v>68320</v>
      </c>
      <c r="E274" s="29">
        <f>B274*0.8</f>
        <v>109312</v>
      </c>
      <c r="F274" s="29">
        <f>B274*1.2</f>
        <v>163968</v>
      </c>
      <c r="G274" s="12"/>
      <c r="J274" s="29" t="s">
        <v>73</v>
      </c>
      <c r="K274" s="12" t="s">
        <v>211</v>
      </c>
      <c r="L274" s="35">
        <v>1</v>
      </c>
      <c r="M274" s="38" t="s">
        <v>211</v>
      </c>
      <c r="N274" s="35">
        <v>1</v>
      </c>
      <c r="O274" s="12" t="s">
        <v>211</v>
      </c>
      <c r="P274" s="35">
        <f>1-P273</f>
        <v>0.97474949899799612</v>
      </c>
      <c r="Q274" s="12" t="s">
        <v>211</v>
      </c>
      <c r="R274" s="35">
        <f>1-R273</f>
        <v>0.19238476953907813</v>
      </c>
      <c r="S274" s="12"/>
      <c r="T274" s="12"/>
      <c r="U274" s="24"/>
    </row>
    <row r="275" spans="1:21" ht="15.5" x14ac:dyDescent="0.35">
      <c r="A275" s="16" t="s">
        <v>216</v>
      </c>
      <c r="B275" s="29">
        <f>B271*0.8</f>
        <v>156160</v>
      </c>
      <c r="C275" s="29">
        <f t="shared" ref="C275:C277" si="71">B275*0.3</f>
        <v>46848</v>
      </c>
      <c r="D275" s="29">
        <f t="shared" ref="D275:D277" si="72">B275*0.5</f>
        <v>78080</v>
      </c>
      <c r="E275" s="29">
        <f t="shared" ref="E275:E277" si="73">B275*0.8</f>
        <v>124928</v>
      </c>
      <c r="F275" s="29">
        <f t="shared" ref="F275:F277" si="74">B275*1.2</f>
        <v>187392</v>
      </c>
      <c r="G275" s="12"/>
      <c r="J275" s="29" t="s">
        <v>74</v>
      </c>
      <c r="K275" s="12" t="s">
        <v>211</v>
      </c>
      <c r="L275" s="35">
        <f>(F282-4001)/499</f>
        <v>0.19679358717434833</v>
      </c>
      <c r="M275" s="38" t="s">
        <v>211</v>
      </c>
      <c r="N275" s="35">
        <v>1</v>
      </c>
      <c r="O275" s="12" t="s">
        <v>211</v>
      </c>
      <c r="P275" s="35">
        <v>1</v>
      </c>
      <c r="Q275" s="12" t="s">
        <v>211</v>
      </c>
      <c r="R275" s="35">
        <v>1</v>
      </c>
      <c r="S275" s="12"/>
      <c r="T275" s="12"/>
      <c r="U275" s="24"/>
    </row>
    <row r="276" spans="1:21" ht="15.5" x14ac:dyDescent="0.35">
      <c r="A276" s="16" t="s">
        <v>217</v>
      </c>
      <c r="B276" s="29">
        <f>B271*0.9</f>
        <v>175680</v>
      </c>
      <c r="C276" s="29">
        <f t="shared" si="71"/>
        <v>52704</v>
      </c>
      <c r="D276" s="29">
        <f t="shared" si="72"/>
        <v>87840</v>
      </c>
      <c r="E276" s="29">
        <f t="shared" si="73"/>
        <v>140544</v>
      </c>
      <c r="F276" s="29">
        <f t="shared" si="74"/>
        <v>210816</v>
      </c>
      <c r="G276" s="12"/>
      <c r="J276" s="29" t="s">
        <v>74</v>
      </c>
      <c r="K276" s="12" t="s">
        <v>213</v>
      </c>
      <c r="L276" s="35">
        <f>1-L275</f>
        <v>0.80320641282565164</v>
      </c>
      <c r="M276" s="38" t="s">
        <v>211</v>
      </c>
      <c r="N276" s="35">
        <v>1</v>
      </c>
      <c r="O276" s="12" t="s">
        <v>211</v>
      </c>
      <c r="P276" s="35">
        <v>1</v>
      </c>
      <c r="Q276" s="12" t="s">
        <v>211</v>
      </c>
      <c r="R276" s="35">
        <v>1</v>
      </c>
      <c r="S276" s="12"/>
      <c r="T276" s="12"/>
      <c r="U276" s="24"/>
    </row>
    <row r="277" spans="1:21" ht="15.5" x14ac:dyDescent="0.35">
      <c r="A277" s="16" t="s">
        <v>218</v>
      </c>
      <c r="B277" s="29">
        <f>B271</f>
        <v>195200</v>
      </c>
      <c r="C277" s="29">
        <f t="shared" si="71"/>
        <v>58560</v>
      </c>
      <c r="D277" s="29">
        <f t="shared" si="72"/>
        <v>97600</v>
      </c>
      <c r="E277" s="29">
        <f t="shared" si="73"/>
        <v>156160</v>
      </c>
      <c r="F277" s="29">
        <f t="shared" si="74"/>
        <v>234240</v>
      </c>
      <c r="G277" s="12"/>
      <c r="J277" s="29" t="s">
        <v>75</v>
      </c>
      <c r="K277" s="12" t="s">
        <v>213</v>
      </c>
      <c r="L277" s="35">
        <v>1</v>
      </c>
      <c r="M277" s="38" t="s">
        <v>211</v>
      </c>
      <c r="N277" s="35">
        <f>(F283-4500)/499</f>
        <v>0.3703406813627258</v>
      </c>
      <c r="O277" s="12" t="s">
        <v>211</v>
      </c>
      <c r="P277" s="35">
        <v>1</v>
      </c>
      <c r="Q277" s="12" t="s">
        <v>211</v>
      </c>
      <c r="R277" s="35">
        <v>1</v>
      </c>
      <c r="S277" s="12"/>
      <c r="T277" s="12"/>
      <c r="U277" s="24"/>
    </row>
    <row r="278" spans="1:21" ht="15.5" x14ac:dyDescent="0.35">
      <c r="A278" s="16"/>
      <c r="B278" s="29"/>
      <c r="C278" s="29"/>
      <c r="D278" s="29"/>
      <c r="E278" s="29"/>
      <c r="F278" s="29"/>
      <c r="G278" s="12"/>
      <c r="J278" s="29"/>
      <c r="K278" s="12"/>
      <c r="L278" s="35"/>
      <c r="M278" s="38"/>
      <c r="N278" s="35"/>
      <c r="O278" s="12"/>
      <c r="P278" s="35"/>
      <c r="Q278" s="12"/>
      <c r="R278" s="35"/>
      <c r="S278" s="12"/>
      <c r="T278" s="12"/>
      <c r="U278" s="24"/>
    </row>
    <row r="279" spans="1:21" ht="15.75" customHeight="1" x14ac:dyDescent="0.35">
      <c r="A279" s="16"/>
      <c r="B279" s="29"/>
      <c r="C279" s="29"/>
      <c r="D279" s="29"/>
      <c r="E279" s="29"/>
      <c r="F279" s="29"/>
      <c r="G279" s="12"/>
      <c r="H279" s="50" t="s">
        <v>231</v>
      </c>
      <c r="I279" s="47"/>
      <c r="J279" s="47"/>
      <c r="K279" s="47"/>
      <c r="L279" s="47"/>
      <c r="M279" s="47"/>
      <c r="N279" s="47"/>
      <c r="O279" s="47"/>
      <c r="P279" s="47"/>
      <c r="Q279" s="47"/>
      <c r="R279" s="12"/>
      <c r="S279" s="12"/>
      <c r="T279" s="12"/>
      <c r="U279" s="24"/>
    </row>
    <row r="280" spans="1:21" ht="15.5" x14ac:dyDescent="0.35">
      <c r="A280" s="25" t="s">
        <v>220</v>
      </c>
      <c r="B280" s="12"/>
      <c r="C280" s="12"/>
      <c r="D280" s="12"/>
      <c r="E280" s="12"/>
      <c r="F280" s="12"/>
      <c r="G280" s="12"/>
      <c r="H280" s="47"/>
      <c r="I280" s="47"/>
      <c r="J280" s="47"/>
      <c r="K280" s="47"/>
      <c r="L280" s="47"/>
      <c r="M280" s="47"/>
      <c r="N280" s="47"/>
      <c r="O280" s="47"/>
      <c r="P280" s="47"/>
      <c r="Q280" s="47"/>
      <c r="R280" s="12"/>
      <c r="S280" s="12"/>
      <c r="T280" s="12"/>
      <c r="U280" s="24"/>
    </row>
    <row r="281" spans="1:21" ht="15.5" x14ac:dyDescent="0.35">
      <c r="A281" s="16"/>
      <c r="B281" s="12" t="s">
        <v>215</v>
      </c>
      <c r="C281" s="12" t="s">
        <v>208</v>
      </c>
      <c r="D281" s="12" t="s">
        <v>209</v>
      </c>
      <c r="E281" s="12" t="s">
        <v>210</v>
      </c>
      <c r="F281" s="12" t="s">
        <v>211</v>
      </c>
      <c r="G281" s="12"/>
      <c r="H281" s="12"/>
      <c r="I281" s="12" t="s">
        <v>76</v>
      </c>
      <c r="J281" s="12" t="s">
        <v>165</v>
      </c>
      <c r="K281" s="12" t="s">
        <v>79</v>
      </c>
      <c r="L281" s="29" t="s">
        <v>67</v>
      </c>
      <c r="M281" s="29" t="s">
        <v>68</v>
      </c>
      <c r="N281" s="29" t="s">
        <v>69</v>
      </c>
      <c r="O281" s="29" t="s">
        <v>70</v>
      </c>
      <c r="P281" s="29" t="s">
        <v>71</v>
      </c>
      <c r="Q281" s="29" t="s">
        <v>72</v>
      </c>
      <c r="R281" s="29" t="s">
        <v>73</v>
      </c>
      <c r="S281" s="29" t="s">
        <v>74</v>
      </c>
      <c r="T281" s="29" t="s">
        <v>75</v>
      </c>
      <c r="U281" s="24"/>
    </row>
    <row r="282" spans="1:21" ht="15.5" x14ac:dyDescent="0.35">
      <c r="A282" s="16" t="s">
        <v>42</v>
      </c>
      <c r="B282" s="29">
        <f>B274*0.3/12</f>
        <v>3416</v>
      </c>
      <c r="C282" s="29">
        <f>C274*0.3/12</f>
        <v>1024.8</v>
      </c>
      <c r="D282" s="29">
        <f>D274*0.3/12</f>
        <v>1708</v>
      </c>
      <c r="E282" s="29">
        <f>E274*0.3/12</f>
        <v>2732.7999999999997</v>
      </c>
      <c r="F282" s="29">
        <f>F274*0.3/12</f>
        <v>4099.2</v>
      </c>
      <c r="G282" s="12"/>
      <c r="H282" s="12" t="s">
        <v>42</v>
      </c>
      <c r="I282" s="12">
        <f>COUNTIFS('ADU Homeowner Survey 2025'!$AG:$AG,"2025",'ADU Homeowner Survey 2025'!$B:$B,"Santa Clara County", 'ADU Homeowner Survey 2025'!$Q:$Q, "0 (studio)",'ADU Homeowner Survey 2025'!$R:$R, "Not planning to use for housing")</f>
        <v>5</v>
      </c>
      <c r="J282" s="12">
        <f>COUNTIFS('ADU Homeowner Survey 2025'!$AG:$AG,"2025",'ADU Homeowner Survey 2025'!$B:$B,"Santa Clara County", 'ADU Homeowner Survey 2025'!$Q:$Q, "0 (studio)",'ADU Homeowner Survey 2025'!$R:$R, "Decline to state")</f>
        <v>0</v>
      </c>
      <c r="K282" s="12">
        <f>COUNTIFS('ADU Homeowner Survey 2025'!$AG:$AG,"2025",'ADU Homeowner Survey 2025'!$B:$B,"Santa Clara County", 'ADU Homeowner Survey 2025'!$Q:$Q, "0 (studio)",'ADU Homeowner Survey 2025'!$R:$R, "Not planning to charge rent")</f>
        <v>14</v>
      </c>
      <c r="L282" s="12">
        <f>COUNTIFS('ADU Homeowner Survey 2025'!$AG:$AG,"2025",'ADU Homeowner Survey 2025'!$B:$B,"Santa Clara County", 'ADU Homeowner Survey 2025'!$Q:$Q, "0 (studio)",'ADU Homeowner Survey 2025'!$R:$R, "$1 - $1,000")</f>
        <v>4</v>
      </c>
      <c r="M282" s="12">
        <f>COUNTIFS('ADU Homeowner Survey 2025'!$AG:$AG,"2025",'ADU Homeowner Survey 2025'!$B:$B,"Santa Clara County", 'ADU Homeowner Survey 2025'!$Q:$Q, "0 (studio)",'ADU Homeowner Survey 2025'!$R:$R, "$1,001 - $1,500")</f>
        <v>2</v>
      </c>
      <c r="N282" s="12">
        <f>COUNTIFS('ADU Homeowner Survey 2025'!$AG:$AG,"2025",'ADU Homeowner Survey 2025'!$B:$B,"Santa Clara County", 'ADU Homeowner Survey 2025'!$Q:$Q, "0 (studio)",'ADU Homeowner Survey 2025'!$R:$R, "$1,501 - $2,000")</f>
        <v>2</v>
      </c>
      <c r="O282" s="12">
        <f>COUNTIFS('ADU Homeowner Survey 2025'!$AG:$AG,"2025",'ADU Homeowner Survey 2025'!$B:$B,"Santa Clara County", 'ADU Homeowner Survey 2025'!$Q:$Q, "0 (studio)",'ADU Homeowner Survey 2025'!$R:$R, "$2,001 - $2,500")</f>
        <v>2</v>
      </c>
      <c r="P282" s="12">
        <f>COUNTIFS('ADU Homeowner Survey 2025'!$AG:$AG,"2025",'ADU Homeowner Survey 2025'!$B:$B,"Santa Clara County", 'ADU Homeowner Survey 2025'!$Q:$Q, "0 (studio)",'ADU Homeowner Survey 2025'!$R:$R, "$2,501 - $3,000")</f>
        <v>0</v>
      </c>
      <c r="Q282" s="12">
        <f>COUNTIFS('ADU Homeowner Survey 2025'!$AG:$AG,"2025",'ADU Homeowner Survey 2025'!$B:$B,"Santa Clara County", 'ADU Homeowner Survey 2025'!$Q:$Q, "0 (studio)",'ADU Homeowner Survey 2025'!$R:$R, "$3,001 - $3,500")</f>
        <v>0</v>
      </c>
      <c r="R282" s="12">
        <f>COUNTIFS('ADU Homeowner Survey 2025'!$AG:$AG,"2025",'ADU Homeowner Survey 2025'!$B:$B,"Santa Clara County", 'ADU Homeowner Survey 2025'!$Q:$Q, "0 (studio)",'ADU Homeowner Survey 2025'!$R:$R, "$3,501 - $4,000")</f>
        <v>0</v>
      </c>
      <c r="S282" s="12">
        <f>COUNTIFS('ADU Homeowner Survey 2025'!$AG:$AG,"2025",'ADU Homeowner Survey 2025'!$B:$B,"Santa Clara County", 'ADU Homeowner Survey 2025'!$Q:$Q, "0 (studio)",'ADU Homeowner Survey 2025'!$R:$R, "$4,001 - $4,500")</f>
        <v>0</v>
      </c>
      <c r="T282" s="12">
        <f>COUNTIFS('ADU Homeowner Survey 2025'!$AG:$AG,"2025",'ADU Homeowner Survey 2025'!$B:$B,"Santa Clara County", 'ADU Homeowner Survey 2025'!$Q:$Q, "0 (studio)",'ADU Homeowner Survey 2025'!$R:$R, "More than $4,500")</f>
        <v>0</v>
      </c>
      <c r="U282" s="24">
        <f>SUM(I282:T282)</f>
        <v>29</v>
      </c>
    </row>
    <row r="283" spans="1:21" ht="15.5" x14ac:dyDescent="0.35">
      <c r="A283" s="16" t="s">
        <v>216</v>
      </c>
      <c r="B283" s="29">
        <f t="shared" ref="B283:F283" si="75">B275*0.3/12</f>
        <v>3904</v>
      </c>
      <c r="C283" s="29">
        <f t="shared" si="75"/>
        <v>1171.2</v>
      </c>
      <c r="D283" s="29">
        <f t="shared" si="75"/>
        <v>1952</v>
      </c>
      <c r="E283" s="29">
        <f t="shared" si="75"/>
        <v>3123.2000000000003</v>
      </c>
      <c r="F283" s="29">
        <f t="shared" si="75"/>
        <v>4684.8</v>
      </c>
      <c r="G283" s="12"/>
      <c r="H283" s="12" t="s">
        <v>216</v>
      </c>
      <c r="I283" s="12">
        <f>COUNTIFS('ADU Homeowner Survey 2025'!$AG:$AG,"2025",'ADU Homeowner Survey 2025'!$B:$B,"Santa Clara County", 'ADU Homeowner Survey 2025'!$Q:$Q, "1",'ADU Homeowner Survey 2025'!$R:$R, "Not planning to use for housing")</f>
        <v>4</v>
      </c>
      <c r="J283" s="12">
        <f>COUNTIFS('ADU Homeowner Survey 2025'!$AG:$AG,"2025",'ADU Homeowner Survey 2025'!$B:$B,"Santa Clara County", 'ADU Homeowner Survey 2025'!$Q:$Q, "1",'ADU Homeowner Survey 2025'!$R:$R, "Decline to state")</f>
        <v>8</v>
      </c>
      <c r="K283" s="12">
        <f>COUNTIFS('ADU Homeowner Survey 2025'!$AG:$AG,"2025",'ADU Homeowner Survey 2025'!$B:$B,"Santa Clara County", 'ADU Homeowner Survey 2025'!$Q:$Q, "1",'ADU Homeowner Survey 2025'!$R:$R, "Not planning to charge rent")</f>
        <v>42</v>
      </c>
      <c r="L283" s="12">
        <f>COUNTIFS('ADU Homeowner Survey 2025'!$AG:$AG,"2025",'ADU Homeowner Survey 2025'!$B:$B,"Santa Clara County", 'ADU Homeowner Survey 2025'!$Q:$Q, "1",'ADU Homeowner Survey 2025'!$R:$R, "$1 - $1,000")</f>
        <v>3</v>
      </c>
      <c r="M283" s="12">
        <f>COUNTIFS('ADU Homeowner Survey 2025'!$AG:$AG,"2025",'ADU Homeowner Survey 2025'!$B:$B,"Santa Clara County", 'ADU Homeowner Survey 2025'!$Q:$Q, "1",'ADU Homeowner Survey 2025'!$R:$R, "$1,001 - $1,500")</f>
        <v>9</v>
      </c>
      <c r="N283" s="12">
        <f>COUNTIFS('ADU Homeowner Survey 2025'!$AG:$AG,"2025",'ADU Homeowner Survey 2025'!$B:$B,"Santa Clara County", 'ADU Homeowner Survey 2025'!$Q:$Q, "1",'ADU Homeowner Survey 2025'!$R:$R, "$1,501 - $2,000")</f>
        <v>7</v>
      </c>
      <c r="O283" s="12">
        <f>COUNTIFS('ADU Homeowner Survey 2025'!$AG:$AG,"2025",'ADU Homeowner Survey 2025'!$B:$B,"Santa Clara County", 'ADU Homeowner Survey 2025'!$Q:$Q, "1",'ADU Homeowner Survey 2025'!$R:$R, "$2,001 - $2,500")</f>
        <v>6</v>
      </c>
      <c r="P283" s="12">
        <f>COUNTIFS('ADU Homeowner Survey 2025'!$AG:$AG,"2025",'ADU Homeowner Survey 2025'!$B:$B,"Santa Clara County", 'ADU Homeowner Survey 2025'!$Q:$Q, "1",'ADU Homeowner Survey 2025'!$R:$R, "$2,501 - $3,000")</f>
        <v>4</v>
      </c>
      <c r="Q283" s="12">
        <f>COUNTIFS('ADU Homeowner Survey 2025'!$AG:$AG,"2025",'ADU Homeowner Survey 2025'!$B:$B,"Santa Clara County", 'ADU Homeowner Survey 2025'!$Q:$Q, "1",'ADU Homeowner Survey 2025'!$R:$R, "$3,001 - $3,500")</f>
        <v>1</v>
      </c>
      <c r="R283" s="12">
        <f>COUNTIFS('ADU Homeowner Survey 2025'!$AG:$AG,"2025",'ADU Homeowner Survey 2025'!$B:$B,"Santa Clara County", 'ADU Homeowner Survey 2025'!$Q:$Q, "1",'ADU Homeowner Survey 2025'!$R:$R, "$3,501 - $4,000")</f>
        <v>1</v>
      </c>
      <c r="S283" s="12">
        <f>COUNTIFS('ADU Homeowner Survey 2025'!$AG:$AG,"2025",'ADU Homeowner Survey 2025'!$B:$B,"Santa Clara County", 'ADU Homeowner Survey 2025'!$Q:$Q, "1",'ADU Homeowner Survey 2025'!$R:$R, "$4,001 - $4,500")</f>
        <v>0</v>
      </c>
      <c r="T283" s="12">
        <f>COUNTIFS('ADU Homeowner Survey 2025'!$AG:$AG,"2025",'ADU Homeowner Survey 2025'!$B:$B,"Santa Clara County", 'ADU Homeowner Survey 2025'!$Q:$Q, "1",'ADU Homeowner Survey 2025'!$R:$R, "More than $4,500")</f>
        <v>0</v>
      </c>
      <c r="U283" s="24">
        <f t="shared" ref="U283:U285" si="76">SUM(I283:T283)</f>
        <v>85</v>
      </c>
    </row>
    <row r="284" spans="1:21" ht="15.5" x14ac:dyDescent="0.35">
      <c r="A284" s="16" t="s">
        <v>217</v>
      </c>
      <c r="B284" s="29">
        <f t="shared" ref="B284:F284" si="77">B276*0.3/12</f>
        <v>4392</v>
      </c>
      <c r="C284" s="29">
        <f t="shared" si="77"/>
        <v>1317.6</v>
      </c>
      <c r="D284" s="29">
        <f t="shared" si="77"/>
        <v>2196</v>
      </c>
      <c r="E284" s="29">
        <f t="shared" si="77"/>
        <v>3513.6</v>
      </c>
      <c r="F284" s="29">
        <f t="shared" si="77"/>
        <v>5270.4</v>
      </c>
      <c r="G284" s="12"/>
      <c r="H284" s="12" t="s">
        <v>217</v>
      </c>
      <c r="I284" s="12">
        <f>COUNTIFS('ADU Homeowner Survey 2025'!$AG:$AG,"2025",'ADU Homeowner Survey 2025'!$B:$B,"Santa Clara County", 'ADU Homeowner Survey 2025'!$Q:$Q, "2",'ADU Homeowner Survey 2025'!$R:$R, "Not planning to use for housing")</f>
        <v>3</v>
      </c>
      <c r="J284" s="12">
        <f>COUNTIFS('ADU Homeowner Survey 2025'!$AG:$AG,"2025",'ADU Homeowner Survey 2025'!$B:$B,"Santa Clara County", 'ADU Homeowner Survey 2025'!$Q:$Q, "2",'ADU Homeowner Survey 2025'!$R:$R, "Decline to state")</f>
        <v>4</v>
      </c>
      <c r="K284" s="12">
        <f>COUNTIFS('ADU Homeowner Survey 2025'!$AG:$AG,"2025",'ADU Homeowner Survey 2025'!$B:$B,"Santa Clara County", 'ADU Homeowner Survey 2025'!$Q:$Q, "2",'ADU Homeowner Survey 2025'!$R:$R, "Not planning to charge rent")</f>
        <v>39</v>
      </c>
      <c r="L284" s="12">
        <f>COUNTIFS('ADU Homeowner Survey 2025'!$AG:$AG,"2025",'ADU Homeowner Survey 2025'!$B:$B,"Santa Clara County", 'ADU Homeowner Survey 2025'!$Q:$Q, "2",'ADU Homeowner Survey 2025'!$R:$R, "$1 - $1,000")</f>
        <v>1</v>
      </c>
      <c r="M284" s="12">
        <f>COUNTIFS('ADU Homeowner Survey 2025'!$AG:$AG,"2025",'ADU Homeowner Survey 2025'!$B:$B,"Santa Clara County", 'ADU Homeowner Survey 2025'!$Q:$Q, "2",'ADU Homeowner Survey 2025'!$R:$R, "$1,001 - $1,500")</f>
        <v>1</v>
      </c>
      <c r="N284" s="12">
        <f>COUNTIFS('ADU Homeowner Survey 2025'!$AG:$AG,"2025",'ADU Homeowner Survey 2025'!$B:$B,"Santa Clara County", 'ADU Homeowner Survey 2025'!$Q:$Q, "2",'ADU Homeowner Survey 2025'!$R:$R, "$1,501 - $2,000")</f>
        <v>2</v>
      </c>
      <c r="O284" s="12">
        <f>COUNTIFS('ADU Homeowner Survey 2025'!$AG:$AG,"2025",'ADU Homeowner Survey 2025'!$B:$B,"Santa Clara County", 'ADU Homeowner Survey 2025'!$Q:$Q, "2",'ADU Homeowner Survey 2025'!$R:$R, "$2,001 - $2,500")</f>
        <v>4</v>
      </c>
      <c r="P284" s="12">
        <f>COUNTIFS('ADU Homeowner Survey 2025'!$AG:$AG,"2025",'ADU Homeowner Survey 2025'!$B:$B,"Santa Clara County", 'ADU Homeowner Survey 2025'!$Q:$Q, "2",'ADU Homeowner Survey 2025'!$R:$R, "$2,501 - $3,000")</f>
        <v>10</v>
      </c>
      <c r="Q284" s="12">
        <f>COUNTIFS('ADU Homeowner Survey 2025'!$AG:$AG,"2025",'ADU Homeowner Survey 2025'!$B:$B,"Santa Clara County", 'ADU Homeowner Survey 2025'!$Q:$Q, "2",'ADU Homeowner Survey 2025'!$R:$R, "$3,001 - $3,500")</f>
        <v>4</v>
      </c>
      <c r="R284" s="12">
        <f>COUNTIFS('ADU Homeowner Survey 2025'!$AG:$AG,"2025",'ADU Homeowner Survey 2025'!$B:$B,"Santa Clara County", 'ADU Homeowner Survey 2025'!$Q:$Q, "2",'ADU Homeowner Survey 2025'!$R:$R, "$3,501 - $4,000")</f>
        <v>7</v>
      </c>
      <c r="S284" s="12">
        <f>COUNTIFS('ADU Homeowner Survey 2025'!$AG:$AG,"2025",'ADU Homeowner Survey 2025'!$B:$B,"Santa Clara County", 'ADU Homeowner Survey 2025'!$Q:$Q, "2",'ADU Homeowner Survey 2025'!$R:$R, "$4,001 - $4,500")</f>
        <v>2</v>
      </c>
      <c r="T284" s="12">
        <f>COUNTIFS('ADU Homeowner Survey 2025'!$AG:$AG,"2025",'ADU Homeowner Survey 2025'!$B:$B,"Santa Clara County", 'ADU Homeowner Survey 2025'!$Q:$Q, "2",'ADU Homeowner Survey 2025'!$R:$R, "More than $4,500")</f>
        <v>0</v>
      </c>
      <c r="U284" s="24">
        <f t="shared" si="76"/>
        <v>77</v>
      </c>
    </row>
    <row r="285" spans="1:21" ht="15.5" x14ac:dyDescent="0.35">
      <c r="A285" s="16" t="s">
        <v>218</v>
      </c>
      <c r="B285" s="29">
        <f t="shared" ref="B285:F285" si="78">B277*0.3/12</f>
        <v>4880</v>
      </c>
      <c r="C285" s="29">
        <f t="shared" si="78"/>
        <v>1464</v>
      </c>
      <c r="D285" s="29">
        <f t="shared" si="78"/>
        <v>2440</v>
      </c>
      <c r="E285" s="29">
        <f t="shared" si="78"/>
        <v>3904</v>
      </c>
      <c r="F285" s="29">
        <f t="shared" si="78"/>
        <v>5856</v>
      </c>
      <c r="G285" s="12"/>
      <c r="H285" s="12" t="s">
        <v>221</v>
      </c>
      <c r="I285" s="12">
        <f>COUNTIFS('ADU Homeowner Survey 2025'!$AG:$AG,"2025",'ADU Homeowner Survey 2025'!$B:$B,"Santa Clara County", 'ADU Homeowner Survey 2025'!$Q:$Q, "3 or more",'ADU Homeowner Survey 2025'!$R:$R, "Not planning to use for housing")</f>
        <v>0</v>
      </c>
      <c r="J285" s="12">
        <f>COUNTIFS('ADU Homeowner Survey 2025'!$AG:$AG,"2025",'ADU Homeowner Survey 2025'!$B:$B,"Santa Clara County", 'ADU Homeowner Survey 2025'!$Q:$Q, "3 or more",'ADU Homeowner Survey 2025'!$R:$R, "Decline to state")</f>
        <v>0</v>
      </c>
      <c r="K285" s="12">
        <f>COUNTIFS('ADU Homeowner Survey 2025'!$AG:$AG,"2025",'ADU Homeowner Survey 2025'!$B:$B,"Santa Clara County", 'ADU Homeowner Survey 2025'!$Q:$Q, "3 or more",'ADU Homeowner Survey 2025'!$R:$R, "Not planning to charge rent")</f>
        <v>0</v>
      </c>
      <c r="L285" s="12">
        <f>COUNTIFS('ADU Homeowner Survey 2025'!$AG:$AG,"2025",'ADU Homeowner Survey 2025'!$B:$B,"Santa Clara County", 'ADU Homeowner Survey 2025'!$Q:$Q, "3 or more",'ADU Homeowner Survey 2025'!$R:$R, "$1 - $1,000")</f>
        <v>0</v>
      </c>
      <c r="M285" s="12">
        <f>COUNTIFS('ADU Homeowner Survey 2025'!$AG:$AG,"2025",'ADU Homeowner Survey 2025'!$B:$B,"Santa Clara County", 'ADU Homeowner Survey 2025'!$Q:$Q, "3 or more",'ADU Homeowner Survey 2025'!$R:$R, "$1,001 - $1,500")</f>
        <v>0</v>
      </c>
      <c r="N285" s="12">
        <f>COUNTIFS('ADU Homeowner Survey 2025'!$AG:$AG,"2025",'ADU Homeowner Survey 2025'!$B:$B,"Santa Clara County", 'ADU Homeowner Survey 2025'!$Q:$Q, "3 or more",'ADU Homeowner Survey 2025'!$R:$R, "$1,501 - $2,000")</f>
        <v>0</v>
      </c>
      <c r="O285" s="12">
        <f>COUNTIFS('ADU Homeowner Survey 2025'!$AG:$AG,"2025",'ADU Homeowner Survey 2025'!$B:$B,"Santa Clara County", 'ADU Homeowner Survey 2025'!$Q:$Q, "3 or more",'ADU Homeowner Survey 2025'!$R:$R, "$2,001 - $2,500")</f>
        <v>0</v>
      </c>
      <c r="P285" s="12">
        <f>COUNTIFS('ADU Homeowner Survey 2025'!$AG:$AG,"2025",'ADU Homeowner Survey 2025'!$B:$B,"Santa Clara County", 'ADU Homeowner Survey 2025'!$Q:$Q, "3 or more",'ADU Homeowner Survey 2025'!$R:$R, "$2,501 - $3,000")</f>
        <v>0</v>
      </c>
      <c r="Q285" s="12">
        <f>COUNTIFS('ADU Homeowner Survey 2025'!$AG:$AG,"2025",'ADU Homeowner Survey 2025'!$B:$B,"Santa Clara County", 'ADU Homeowner Survey 2025'!$Q:$Q, "3 or more",'ADU Homeowner Survey 2025'!$R:$R, "$3,001 - $3,500")</f>
        <v>0</v>
      </c>
      <c r="R285" s="12">
        <f>COUNTIFS('ADU Homeowner Survey 2025'!$AG:$AG,"2025",'ADU Homeowner Survey 2025'!$B:$B,"Santa Clara County", 'ADU Homeowner Survey 2025'!$Q:$Q, "3 or more",'ADU Homeowner Survey 2025'!$R:$R, "$3,501 - $4,000")</f>
        <v>0</v>
      </c>
      <c r="S285" s="12">
        <f>COUNTIFS('ADU Homeowner Survey 2025'!$AG:$AG,"2025",'ADU Homeowner Survey 2025'!$B:$B,"Santa Clara County", 'ADU Homeowner Survey 2025'!$Q:$Q, "3 or more",'ADU Homeowner Survey 2025'!$R:$R, "$4,001 - $4,500")</f>
        <v>1</v>
      </c>
      <c r="T285" s="12">
        <f>COUNTIFS('ADU Homeowner Survey 2025'!$AG:$AG,"2025",'ADU Homeowner Survey 2025'!$B:$B,"Santa Clara County", 'ADU Homeowner Survey 2025'!$Q:$Q, "3 or more",'ADU Homeowner Survey 2025'!$R:$R, "More than $4,500")</f>
        <v>0</v>
      </c>
      <c r="U285" s="24">
        <f t="shared" si="76"/>
        <v>1</v>
      </c>
    </row>
    <row r="286" spans="1:21" ht="15.5" x14ac:dyDescent="0.35">
      <c r="A286" s="16"/>
      <c r="B286" s="29"/>
      <c r="C286" s="29"/>
      <c r="D286" s="29"/>
      <c r="E286" s="29"/>
      <c r="F286" s="29"/>
      <c r="G286" s="12"/>
      <c r="H286" s="12" t="s">
        <v>222</v>
      </c>
      <c r="I286" s="12">
        <f>SUM(I282:I285)</f>
        <v>12</v>
      </c>
      <c r="J286" s="12">
        <f>SUM(J282:J285)</f>
        <v>12</v>
      </c>
      <c r="K286" s="12">
        <f t="shared" ref="K286:T286" si="79">SUM(K282:K285)</f>
        <v>95</v>
      </c>
      <c r="L286" s="12">
        <f t="shared" si="79"/>
        <v>8</v>
      </c>
      <c r="M286" s="12">
        <f t="shared" si="79"/>
        <v>12</v>
      </c>
      <c r="N286" s="12">
        <f t="shared" si="79"/>
        <v>11</v>
      </c>
      <c r="O286" s="12">
        <f t="shared" si="79"/>
        <v>12</v>
      </c>
      <c r="P286" s="12">
        <f t="shared" si="79"/>
        <v>14</v>
      </c>
      <c r="Q286" s="12">
        <f t="shared" si="79"/>
        <v>5</v>
      </c>
      <c r="R286" s="12">
        <f t="shared" si="79"/>
        <v>8</v>
      </c>
      <c r="S286" s="12">
        <f t="shared" si="79"/>
        <v>3</v>
      </c>
      <c r="T286" s="12">
        <f t="shared" si="79"/>
        <v>0</v>
      </c>
      <c r="U286" s="24">
        <f>SUM(I286:T286)</f>
        <v>192</v>
      </c>
    </row>
    <row r="287" spans="1:21" ht="15.5" x14ac:dyDescent="0.35">
      <c r="A287" s="16"/>
      <c r="B287" s="29"/>
      <c r="C287" s="29"/>
      <c r="D287" s="29"/>
      <c r="E287" s="29"/>
      <c r="F287" s="29"/>
      <c r="G287" s="12"/>
      <c r="H287" s="12"/>
      <c r="I287" s="12"/>
      <c r="J287" s="12"/>
      <c r="K287" s="12"/>
      <c r="L287" s="12"/>
      <c r="M287" s="12"/>
      <c r="N287" s="12"/>
      <c r="O287" s="12"/>
      <c r="P287" s="12"/>
      <c r="Q287" s="12"/>
      <c r="R287" s="12"/>
      <c r="S287" s="12"/>
      <c r="T287" s="12"/>
      <c r="U287" s="24"/>
    </row>
    <row r="288" spans="1:21" ht="15.5" x14ac:dyDescent="0.35">
      <c r="A288" s="16"/>
      <c r="B288" s="12"/>
      <c r="C288" s="12"/>
      <c r="D288" s="12"/>
      <c r="E288" s="12"/>
      <c r="F288" s="12"/>
      <c r="G288" s="12"/>
      <c r="H288" s="58" t="s">
        <v>231</v>
      </c>
      <c r="I288" s="58"/>
      <c r="J288" s="58"/>
      <c r="K288" s="58"/>
      <c r="L288" s="58"/>
      <c r="M288" s="58"/>
      <c r="N288" s="58"/>
      <c r="O288" s="58"/>
      <c r="P288" s="58"/>
      <c r="Q288" s="58"/>
      <c r="R288" s="12"/>
      <c r="S288" s="12"/>
      <c r="T288" s="12"/>
      <c r="U288" s="24"/>
    </row>
    <row r="289" spans="1:21" ht="15.5" x14ac:dyDescent="0.35">
      <c r="A289" s="25" t="s">
        <v>220</v>
      </c>
      <c r="B289" s="12"/>
      <c r="C289" s="12"/>
      <c r="D289" s="12"/>
      <c r="E289" s="12"/>
      <c r="F289" s="12"/>
      <c r="G289" s="12"/>
      <c r="H289" s="58"/>
      <c r="I289" s="58"/>
      <c r="J289" s="58"/>
      <c r="K289" s="58"/>
      <c r="L289" s="58"/>
      <c r="M289" s="58"/>
      <c r="N289" s="58"/>
      <c r="O289" s="58"/>
      <c r="P289" s="58"/>
      <c r="Q289" s="58"/>
      <c r="R289" s="12"/>
      <c r="S289" s="12"/>
      <c r="T289" s="12"/>
      <c r="U289" s="24"/>
    </row>
    <row r="290" spans="1:21" ht="15.5" x14ac:dyDescent="0.35">
      <c r="A290" s="16"/>
      <c r="B290" s="12" t="s">
        <v>215</v>
      </c>
      <c r="C290" s="12" t="s">
        <v>208</v>
      </c>
      <c r="D290" s="12" t="s">
        <v>209</v>
      </c>
      <c r="E290" s="12" t="s">
        <v>210</v>
      </c>
      <c r="F290" s="12" t="s">
        <v>211</v>
      </c>
      <c r="G290" s="12"/>
      <c r="H290" s="12"/>
      <c r="I290" s="12" t="s">
        <v>76</v>
      </c>
      <c r="J290" s="12" t="s">
        <v>165</v>
      </c>
      <c r="K290" s="12" t="s">
        <v>208</v>
      </c>
      <c r="L290" s="12" t="s">
        <v>223</v>
      </c>
      <c r="M290" s="12" t="s">
        <v>210</v>
      </c>
      <c r="N290" s="12" t="s">
        <v>211</v>
      </c>
      <c r="O290" s="12" t="s">
        <v>224</v>
      </c>
      <c r="P290" s="12"/>
      <c r="Q290" s="12"/>
      <c r="R290" s="12"/>
      <c r="S290" s="12"/>
      <c r="T290" s="12"/>
      <c r="U290" s="24"/>
    </row>
    <row r="291" spans="1:21" ht="15.5" x14ac:dyDescent="0.35">
      <c r="A291" s="16" t="s">
        <v>42</v>
      </c>
      <c r="B291" s="29" t="s">
        <v>72</v>
      </c>
      <c r="C291" s="29" t="s">
        <v>68</v>
      </c>
      <c r="D291" s="29" t="s">
        <v>69</v>
      </c>
      <c r="E291" s="29" t="s">
        <v>71</v>
      </c>
      <c r="F291" s="29" t="s">
        <v>74</v>
      </c>
      <c r="G291" s="12"/>
      <c r="H291" s="12" t="s">
        <v>42</v>
      </c>
      <c r="I291" s="12">
        <f>I282</f>
        <v>5</v>
      </c>
      <c r="J291" s="35">
        <f>J282</f>
        <v>0</v>
      </c>
      <c r="K291" s="35">
        <f>K282+L282+M282*L263</f>
        <v>18.095390781563125</v>
      </c>
      <c r="L291" s="35">
        <f>M282*L264+N282*L265</f>
        <v>2.7342685370741484</v>
      </c>
      <c r="M291" s="35">
        <f>N282*L266+O282+P282*L269</f>
        <v>3.1703406813627253</v>
      </c>
      <c r="N291" s="35">
        <f>P282*L270</f>
        <v>0</v>
      </c>
      <c r="O291" s="35">
        <v>0</v>
      </c>
      <c r="P291" s="35">
        <f>SUM(I291:O291)</f>
        <v>28.999999999999996</v>
      </c>
      <c r="Q291" s="12"/>
      <c r="R291" s="12"/>
      <c r="S291" s="12"/>
      <c r="T291" s="12"/>
      <c r="U291" s="24"/>
    </row>
    <row r="292" spans="1:21" ht="15.5" x14ac:dyDescent="0.35">
      <c r="A292" s="16" t="s">
        <v>216</v>
      </c>
      <c r="B292" s="29" t="s">
        <v>73</v>
      </c>
      <c r="C292" s="29" t="s">
        <v>68</v>
      </c>
      <c r="D292" s="29" t="s">
        <v>69</v>
      </c>
      <c r="E292" s="29" t="s">
        <v>72</v>
      </c>
      <c r="F292" s="29" t="s">
        <v>75</v>
      </c>
      <c r="G292" s="12"/>
      <c r="H292" s="12" t="s">
        <v>216</v>
      </c>
      <c r="I292" s="12">
        <f t="shared" ref="I292:I294" si="80">I283</f>
        <v>4</v>
      </c>
      <c r="J292" s="35">
        <f t="shared" ref="J292:J294" si="81">J283</f>
        <v>8</v>
      </c>
      <c r="K292" s="35">
        <f>K283+L283+M283*N263</f>
        <v>48.069739478957914</v>
      </c>
      <c r="L292" s="35">
        <f>M283*N264+N283*N265</f>
        <v>8.8340681362725437</v>
      </c>
      <c r="M292" s="35">
        <f>N283*N266+O283+P283*N269</f>
        <v>11.954308617234465</v>
      </c>
      <c r="N292" s="35">
        <f>P283*N270+Q283+R283</f>
        <v>4.1418837675350719</v>
      </c>
      <c r="O292" s="35">
        <v>0</v>
      </c>
      <c r="P292" s="35">
        <f t="shared" ref="P292:P294" si="82">SUM(I292:O292)</f>
        <v>85</v>
      </c>
      <c r="Q292" s="12"/>
      <c r="R292" s="12"/>
      <c r="S292" s="12"/>
      <c r="T292" s="12"/>
      <c r="U292" s="24"/>
    </row>
    <row r="293" spans="1:21" ht="15.5" x14ac:dyDescent="0.35">
      <c r="A293" s="16" t="s">
        <v>217</v>
      </c>
      <c r="B293" s="29" t="s">
        <v>74</v>
      </c>
      <c r="C293" s="29" t="s">
        <v>68</v>
      </c>
      <c r="D293" s="29" t="s">
        <v>70</v>
      </c>
      <c r="E293" s="29" t="s">
        <v>73</v>
      </c>
      <c r="F293" s="29" t="s">
        <v>75</v>
      </c>
      <c r="G293" s="12"/>
      <c r="H293" s="12" t="s">
        <v>217</v>
      </c>
      <c r="I293" s="12">
        <f t="shared" si="80"/>
        <v>3</v>
      </c>
      <c r="J293" s="35">
        <f>J284</f>
        <v>4</v>
      </c>
      <c r="K293" s="35">
        <f>K284+L284+M284*P263</f>
        <v>40.634468937875752</v>
      </c>
      <c r="L293" s="35">
        <f>M284*P264+N284+O284*P267</f>
        <v>3.9286573146292589</v>
      </c>
      <c r="M293" s="35">
        <f>O284*P268+P284+Q284+R284*P273</f>
        <v>16.613627254509016</v>
      </c>
      <c r="N293" s="35">
        <f>R284*P274+S284</f>
        <v>8.8232464929859731</v>
      </c>
      <c r="O293" s="35">
        <v>0</v>
      </c>
      <c r="P293" s="35">
        <f t="shared" si="82"/>
        <v>77</v>
      </c>
      <c r="Q293" s="12"/>
      <c r="R293" s="12"/>
      <c r="S293" s="12"/>
      <c r="T293" s="12"/>
      <c r="U293" s="24"/>
    </row>
    <row r="294" spans="1:21" ht="15.5" x14ac:dyDescent="0.35">
      <c r="A294" s="16" t="s">
        <v>218</v>
      </c>
      <c r="B294" s="29" t="s">
        <v>75</v>
      </c>
      <c r="C294" s="29" t="s">
        <v>68</v>
      </c>
      <c r="D294" s="29" t="s">
        <v>70</v>
      </c>
      <c r="E294" s="29" t="s">
        <v>73</v>
      </c>
      <c r="F294" s="29" t="s">
        <v>75</v>
      </c>
      <c r="G294" s="12"/>
      <c r="H294" s="12" t="s">
        <v>221</v>
      </c>
      <c r="I294" s="12">
        <f t="shared" si="80"/>
        <v>0</v>
      </c>
      <c r="J294" s="35">
        <f t="shared" si="81"/>
        <v>0</v>
      </c>
      <c r="K294" s="35">
        <f>K285</f>
        <v>0</v>
      </c>
      <c r="L294" s="35">
        <v>0</v>
      </c>
      <c r="M294" s="35">
        <v>0</v>
      </c>
      <c r="N294" s="35">
        <f>S285</f>
        <v>1</v>
      </c>
      <c r="O294" s="35">
        <v>0</v>
      </c>
      <c r="P294" s="35">
        <f t="shared" si="82"/>
        <v>1</v>
      </c>
      <c r="Q294" s="12"/>
      <c r="R294" s="12"/>
      <c r="S294" s="12"/>
      <c r="T294" s="12"/>
      <c r="U294" s="24"/>
    </row>
    <row r="295" spans="1:21" ht="15.5" x14ac:dyDescent="0.35">
      <c r="A295" s="16"/>
      <c r="B295" s="12"/>
      <c r="C295" s="12"/>
      <c r="D295" s="12"/>
      <c r="E295" s="12"/>
      <c r="F295" s="12"/>
      <c r="G295" s="12"/>
      <c r="H295" s="12" t="s">
        <v>222</v>
      </c>
      <c r="I295" s="12">
        <f>I286</f>
        <v>12</v>
      </c>
      <c r="J295" s="35">
        <f>SUM(J291:J294)</f>
        <v>12</v>
      </c>
      <c r="K295" s="35">
        <f t="shared" ref="K295:O295" si="83">SUM(K291:K294)</f>
        <v>106.79959919839679</v>
      </c>
      <c r="L295" s="35">
        <f t="shared" si="83"/>
        <v>15.496993987975952</v>
      </c>
      <c r="M295" s="35">
        <f t="shared" si="83"/>
        <v>31.738276553106207</v>
      </c>
      <c r="N295" s="35">
        <f t="shared" si="83"/>
        <v>13.965130260521045</v>
      </c>
      <c r="O295" s="35">
        <f t="shared" si="83"/>
        <v>0</v>
      </c>
      <c r="P295" s="35">
        <f>SUM(I295:O295)</f>
        <v>191.99999999999997</v>
      </c>
      <c r="Q295" s="12"/>
      <c r="R295" s="12"/>
      <c r="S295" s="12"/>
      <c r="T295" s="12"/>
      <c r="U295" s="24"/>
    </row>
    <row r="296" spans="1:21" ht="16" thickBot="1" x14ac:dyDescent="0.4">
      <c r="A296" s="18"/>
      <c r="B296" s="26"/>
      <c r="C296" s="26"/>
      <c r="D296" s="26"/>
      <c r="E296" s="26"/>
      <c r="F296" s="26"/>
      <c r="G296" s="26"/>
      <c r="H296" s="26"/>
      <c r="I296" s="26"/>
      <c r="J296" s="26"/>
      <c r="K296" s="26"/>
      <c r="L296" s="26"/>
      <c r="M296" s="26"/>
      <c r="N296" s="26"/>
      <c r="O296" s="26"/>
      <c r="P296" s="26"/>
      <c r="Q296" s="26"/>
      <c r="R296" s="26"/>
      <c r="S296" s="26"/>
      <c r="T296" s="26"/>
      <c r="U296" s="27"/>
    </row>
    <row r="297" spans="1:21" ht="15.5" x14ac:dyDescent="0.35">
      <c r="A297" s="12"/>
      <c r="B297" s="12"/>
      <c r="C297" s="12"/>
      <c r="D297" s="12"/>
      <c r="E297" s="12"/>
      <c r="F297" s="12"/>
      <c r="G297" s="12"/>
      <c r="H297" s="12"/>
      <c r="I297" s="12"/>
      <c r="J297" s="12"/>
      <c r="K297" s="12"/>
      <c r="L297" s="12"/>
      <c r="M297" s="12"/>
      <c r="N297" s="12"/>
      <c r="O297" s="12"/>
      <c r="P297" s="12"/>
      <c r="Q297" s="12"/>
      <c r="R297" s="12"/>
      <c r="S297" s="12"/>
      <c r="T297" s="12"/>
      <c r="U297" s="12"/>
    </row>
    <row r="298" spans="1:21" ht="15" thickBot="1" x14ac:dyDescent="0.4"/>
    <row r="299" spans="1:21" ht="15.5" x14ac:dyDescent="0.35">
      <c r="A299" s="14" t="s">
        <v>152</v>
      </c>
      <c r="B299" s="20"/>
      <c r="C299" s="20"/>
      <c r="D299" s="20"/>
      <c r="E299" s="20"/>
      <c r="F299" s="20"/>
      <c r="G299" s="20"/>
      <c r="H299" s="20"/>
      <c r="I299" s="20"/>
      <c r="J299" s="20"/>
      <c r="K299" s="20"/>
      <c r="L299" s="20"/>
      <c r="M299" s="20"/>
      <c r="N299" s="20"/>
      <c r="O299" s="20"/>
      <c r="P299" s="20"/>
      <c r="Q299" s="20"/>
      <c r="R299" s="20"/>
      <c r="S299" s="20"/>
      <c r="T299" s="20"/>
      <c r="U299" s="21"/>
    </row>
    <row r="300" spans="1:21" ht="15.5" x14ac:dyDescent="0.35">
      <c r="A300" s="16"/>
      <c r="B300" s="12"/>
      <c r="C300" s="12"/>
      <c r="D300" s="12"/>
      <c r="E300" s="12"/>
      <c r="F300" s="12"/>
      <c r="G300" s="12"/>
      <c r="K300" s="5" t="s">
        <v>42</v>
      </c>
      <c r="L300" s="5" t="s">
        <v>42</v>
      </c>
      <c r="M300" s="5" t="s">
        <v>203</v>
      </c>
      <c r="N300" s="5" t="s">
        <v>203</v>
      </c>
      <c r="O300" s="5" t="s">
        <v>204</v>
      </c>
      <c r="P300" s="5" t="s">
        <v>204</v>
      </c>
      <c r="Q300" s="5" t="s">
        <v>205</v>
      </c>
      <c r="R300" s="5" t="s">
        <v>205</v>
      </c>
      <c r="S300" s="12"/>
      <c r="T300" s="12"/>
      <c r="U300" s="24"/>
    </row>
    <row r="301" spans="1:21" ht="15.5" x14ac:dyDescent="0.35">
      <c r="A301" s="16"/>
      <c r="B301" s="12"/>
      <c r="C301" s="12"/>
      <c r="D301" s="12"/>
      <c r="E301" s="12"/>
      <c r="F301" s="12"/>
      <c r="G301" s="12"/>
      <c r="J301" s="37"/>
      <c r="K301" s="37" t="s">
        <v>206</v>
      </c>
      <c r="L301" s="37" t="s">
        <v>207</v>
      </c>
      <c r="M301" s="37" t="s">
        <v>206</v>
      </c>
      <c r="N301" s="37" t="s">
        <v>207</v>
      </c>
      <c r="O301" s="37" t="s">
        <v>206</v>
      </c>
      <c r="P301" s="37" t="s">
        <v>207</v>
      </c>
      <c r="Q301" s="37" t="s">
        <v>206</v>
      </c>
      <c r="R301" s="37" t="s">
        <v>207</v>
      </c>
      <c r="S301" s="12"/>
      <c r="T301" s="12"/>
      <c r="U301" s="24"/>
    </row>
    <row r="302" spans="1:21" ht="15.5" x14ac:dyDescent="0.35">
      <c r="A302" s="16"/>
      <c r="B302" s="12"/>
      <c r="C302" s="12"/>
      <c r="D302" s="12"/>
      <c r="E302" s="12"/>
      <c r="F302" s="12"/>
      <c r="G302" s="12"/>
      <c r="J302" s="29" t="s">
        <v>67</v>
      </c>
      <c r="K302" s="12" t="s">
        <v>208</v>
      </c>
      <c r="L302" s="36">
        <f>C323/1000</f>
        <v>0.65415000000000001</v>
      </c>
      <c r="M302" s="12" t="s">
        <v>208</v>
      </c>
      <c r="N302" s="36">
        <f>748/1000</f>
        <v>0.748</v>
      </c>
      <c r="O302" s="36" t="s">
        <v>208</v>
      </c>
      <c r="P302" s="35">
        <f>C325/1000</f>
        <v>0.84105000000000008</v>
      </c>
      <c r="Q302" s="12" t="s">
        <v>208</v>
      </c>
      <c r="R302" s="35">
        <f>935/1000</f>
        <v>0.93500000000000005</v>
      </c>
      <c r="S302" s="12"/>
      <c r="T302" s="12"/>
      <c r="U302" s="24"/>
    </row>
    <row r="303" spans="1:21" ht="15.5" x14ac:dyDescent="0.35">
      <c r="A303" s="16"/>
      <c r="B303" s="12"/>
      <c r="C303" s="12"/>
      <c r="D303" s="12"/>
      <c r="E303" s="12"/>
      <c r="F303" s="12"/>
      <c r="G303" s="12"/>
      <c r="J303" s="29" t="s">
        <v>67</v>
      </c>
      <c r="K303" s="12" t="s">
        <v>209</v>
      </c>
      <c r="L303" s="35">
        <f>1-L302</f>
        <v>0.34584999999999999</v>
      </c>
      <c r="M303" s="12" t="s">
        <v>208</v>
      </c>
      <c r="N303" s="38">
        <f>1-N302</f>
        <v>0.252</v>
      </c>
      <c r="O303" s="35" t="s">
        <v>209</v>
      </c>
      <c r="P303" s="35">
        <f>1-P302</f>
        <v>0.15894999999999992</v>
      </c>
      <c r="Q303" s="12" t="s">
        <v>209</v>
      </c>
      <c r="R303" s="35">
        <f>1-R302</f>
        <v>6.4999999999999947E-2</v>
      </c>
      <c r="S303" s="12"/>
      <c r="T303" s="12"/>
      <c r="U303" s="24"/>
    </row>
    <row r="304" spans="1:21" ht="15.5" x14ac:dyDescent="0.35">
      <c r="A304" s="16"/>
      <c r="B304" s="12"/>
      <c r="C304" s="12"/>
      <c r="D304" s="12"/>
      <c r="E304" s="12"/>
      <c r="F304" s="12"/>
      <c r="G304" s="12"/>
      <c r="J304" s="29" t="s">
        <v>68</v>
      </c>
      <c r="K304" s="12" t="s">
        <v>209</v>
      </c>
      <c r="L304" s="35">
        <f>(D323-1001)/499</f>
        <v>0.17885771543086174</v>
      </c>
      <c r="M304" s="38" t="s">
        <v>209</v>
      </c>
      <c r="N304" s="35">
        <f>(1246-1001)/499</f>
        <v>0.4909819639278557</v>
      </c>
      <c r="O304" s="35" t="s">
        <v>209</v>
      </c>
      <c r="P304" s="35">
        <f>1</f>
        <v>1</v>
      </c>
      <c r="Q304" s="12" t="s">
        <v>209</v>
      </c>
      <c r="R304" s="35">
        <v>1</v>
      </c>
      <c r="S304" s="12"/>
      <c r="T304" s="12"/>
      <c r="U304" s="24"/>
    </row>
    <row r="305" spans="1:21" ht="15.5" x14ac:dyDescent="0.35">
      <c r="A305" s="16"/>
      <c r="B305" s="12"/>
      <c r="C305" s="12"/>
      <c r="D305" s="12"/>
      <c r="E305" s="12"/>
      <c r="F305" s="12"/>
      <c r="G305" s="12"/>
      <c r="J305" s="29" t="s">
        <v>68</v>
      </c>
      <c r="K305" s="12" t="s">
        <v>210</v>
      </c>
      <c r="L305" s="35">
        <f>1-L304</f>
        <v>0.82114228456913829</v>
      </c>
      <c r="M305" s="38" t="s">
        <v>210</v>
      </c>
      <c r="N305" s="35">
        <f>1-N304</f>
        <v>0.50901803607214435</v>
      </c>
      <c r="O305" s="35" t="s">
        <v>209</v>
      </c>
      <c r="P305" s="35">
        <v>1</v>
      </c>
      <c r="Q305" s="12" t="s">
        <v>209</v>
      </c>
      <c r="R305" s="35">
        <v>1</v>
      </c>
      <c r="S305" s="12"/>
      <c r="T305" s="12"/>
      <c r="U305" s="24"/>
    </row>
    <row r="306" spans="1:21" ht="15.5" x14ac:dyDescent="0.35">
      <c r="A306" s="16"/>
      <c r="B306" s="12"/>
      <c r="C306" s="12"/>
      <c r="D306" s="12"/>
      <c r="E306" s="12"/>
      <c r="F306" s="12"/>
      <c r="G306" s="12"/>
      <c r="J306" s="29" t="s">
        <v>69</v>
      </c>
      <c r="K306" s="12" t="s">
        <v>210</v>
      </c>
      <c r="L306" s="35">
        <f>(E323-1501)/499</f>
        <v>0.48777555110220411</v>
      </c>
      <c r="M306" s="38" t="s">
        <v>210</v>
      </c>
      <c r="N306" s="36">
        <f>(E324-1501)/499</f>
        <v>0.98717434869739507</v>
      </c>
      <c r="O306" s="35" t="s">
        <v>209</v>
      </c>
      <c r="P306" s="35">
        <f>(D326-1501)/499</f>
        <v>0.11322645290581163</v>
      </c>
      <c r="Q306" s="12" t="s">
        <v>209</v>
      </c>
      <c r="R306" s="35">
        <f>(D326-1501)/499</f>
        <v>0.11322645290581163</v>
      </c>
      <c r="S306" s="12"/>
      <c r="T306" s="12"/>
      <c r="U306" s="24"/>
    </row>
    <row r="307" spans="1:21" ht="15" customHeight="1" x14ac:dyDescent="0.35">
      <c r="A307" s="16"/>
      <c r="B307" s="12"/>
      <c r="C307" s="12"/>
      <c r="D307" s="12"/>
      <c r="E307" s="12"/>
      <c r="F307" s="12"/>
      <c r="G307" s="12"/>
      <c r="J307" s="29" t="s">
        <v>69</v>
      </c>
      <c r="K307" s="12" t="s">
        <v>211</v>
      </c>
      <c r="L307" s="35">
        <f>1-L306</f>
        <v>0.51222444889779584</v>
      </c>
      <c r="M307" s="38" t="s">
        <v>211</v>
      </c>
      <c r="N307" s="35">
        <f>1-N306</f>
        <v>1.2825651302604935E-2</v>
      </c>
      <c r="O307" s="12" t="s">
        <v>210</v>
      </c>
      <c r="P307" s="35">
        <f>1-P306</f>
        <v>0.88677354709418843</v>
      </c>
      <c r="Q307" s="12" t="s">
        <v>210</v>
      </c>
      <c r="R307" s="35">
        <f>1-R306</f>
        <v>0.88677354709418843</v>
      </c>
      <c r="S307" s="12"/>
      <c r="T307" s="12"/>
      <c r="U307" s="24"/>
    </row>
    <row r="308" spans="1:21" ht="15" customHeight="1" x14ac:dyDescent="0.35">
      <c r="A308" s="16"/>
      <c r="B308" s="12"/>
      <c r="C308" s="12"/>
      <c r="D308" s="12"/>
      <c r="E308" s="12"/>
      <c r="F308" s="12"/>
      <c r="G308" s="12"/>
      <c r="J308" s="29" t="s">
        <v>70</v>
      </c>
      <c r="K308" s="12" t="s">
        <v>211</v>
      </c>
      <c r="L308" s="36">
        <v>1</v>
      </c>
      <c r="M308" s="38" t="s">
        <v>211</v>
      </c>
      <c r="N308" s="35">
        <v>1</v>
      </c>
      <c r="O308" s="36" t="s">
        <v>210</v>
      </c>
      <c r="P308" s="35">
        <f>(E325-2001)/499</f>
        <v>0.48456913827655257</v>
      </c>
      <c r="Q308" s="12" t="s">
        <v>210</v>
      </c>
      <c r="R308" s="35">
        <f>(E326-2001)/499</f>
        <v>0.98396793587174347</v>
      </c>
      <c r="S308" s="12"/>
      <c r="T308" s="12"/>
      <c r="U308" s="24"/>
    </row>
    <row r="309" spans="1:21" ht="15" customHeight="1" x14ac:dyDescent="0.35">
      <c r="A309" s="16"/>
      <c r="B309" s="12"/>
      <c r="C309" s="12"/>
      <c r="D309" s="12"/>
      <c r="E309" s="12"/>
      <c r="F309" s="12"/>
      <c r="G309" s="12"/>
      <c r="J309" s="29" t="s">
        <v>70</v>
      </c>
      <c r="K309" s="12" t="s">
        <v>211</v>
      </c>
      <c r="L309" s="36">
        <v>1</v>
      </c>
      <c r="M309" s="38" t="s">
        <v>211</v>
      </c>
      <c r="N309" s="35">
        <v>1</v>
      </c>
      <c r="O309" s="36" t="s">
        <v>211</v>
      </c>
      <c r="P309" s="35">
        <f>1-P308</f>
        <v>0.51543086172344743</v>
      </c>
      <c r="Q309" s="12" t="s">
        <v>211</v>
      </c>
      <c r="R309" s="35">
        <f>1-R308</f>
        <v>1.6032064128256529E-2</v>
      </c>
      <c r="S309" s="12"/>
      <c r="T309" s="12"/>
      <c r="U309" s="24"/>
    </row>
    <row r="310" spans="1:21" ht="15.5" x14ac:dyDescent="0.35">
      <c r="A310" s="16"/>
      <c r="B310" s="12"/>
      <c r="C310" s="12"/>
      <c r="D310" s="12"/>
      <c r="E310" s="12"/>
      <c r="F310" s="12"/>
      <c r="G310" s="12"/>
      <c r="J310" s="29" t="s">
        <v>71</v>
      </c>
      <c r="K310" s="12" t="s">
        <v>211</v>
      </c>
      <c r="L310" s="35">
        <f>(F323-2501)/499</f>
        <v>0.23166332665330644</v>
      </c>
      <c r="M310" s="38" t="s">
        <v>211</v>
      </c>
      <c r="N310" s="35">
        <f>(F324-2501)/499</f>
        <v>0.98076152304609143</v>
      </c>
      <c r="O310" s="12" t="s">
        <v>211</v>
      </c>
      <c r="P310" s="35">
        <v>1</v>
      </c>
      <c r="Q310" s="12" t="s">
        <v>211</v>
      </c>
      <c r="R310" s="35">
        <v>1</v>
      </c>
      <c r="S310" s="12"/>
      <c r="T310" s="12"/>
      <c r="U310" s="24"/>
    </row>
    <row r="311" spans="1:21" ht="15.5" x14ac:dyDescent="0.35">
      <c r="A311" s="16"/>
      <c r="B311" s="12"/>
      <c r="C311" s="12"/>
      <c r="D311" s="12"/>
      <c r="E311" s="12"/>
      <c r="F311" s="12"/>
      <c r="G311" s="12"/>
      <c r="J311" s="29" t="s">
        <v>71</v>
      </c>
      <c r="K311" s="12" t="s">
        <v>213</v>
      </c>
      <c r="L311" s="35">
        <f>1-L310</f>
        <v>0.76833667334669353</v>
      </c>
      <c r="M311" s="38" t="s">
        <v>213</v>
      </c>
      <c r="N311" s="35">
        <f>1-N310</f>
        <v>1.9238476953908568E-2</v>
      </c>
      <c r="O311" s="12" t="s">
        <v>211</v>
      </c>
      <c r="P311" s="35">
        <v>1</v>
      </c>
      <c r="Q311" s="12" t="s">
        <v>211</v>
      </c>
      <c r="R311" s="35">
        <v>1</v>
      </c>
      <c r="S311" s="12"/>
      <c r="T311" s="12"/>
      <c r="U311" s="24"/>
    </row>
    <row r="312" spans="1:21" ht="15.5" x14ac:dyDescent="0.35">
      <c r="A312" s="22" t="s">
        <v>212</v>
      </c>
      <c r="B312" s="23">
        <f>'2025 Affordability Calcluations'!B9</f>
        <v>124600</v>
      </c>
      <c r="C312" s="12"/>
      <c r="D312" s="12"/>
      <c r="E312" s="12"/>
      <c r="F312" s="12"/>
      <c r="G312" s="12"/>
      <c r="J312" s="29" t="s">
        <v>72</v>
      </c>
      <c r="K312" s="12" t="s">
        <v>213</v>
      </c>
      <c r="L312" s="36">
        <v>1</v>
      </c>
      <c r="M312" s="38" t="s">
        <v>213</v>
      </c>
      <c r="N312" s="35">
        <v>1</v>
      </c>
      <c r="O312" s="36" t="s">
        <v>211</v>
      </c>
      <c r="P312" s="35">
        <f>(F325-3001)/499</f>
        <v>0.72785571142284622</v>
      </c>
      <c r="Q312" s="12" t="s">
        <v>211</v>
      </c>
      <c r="R312" s="35">
        <v>1</v>
      </c>
      <c r="S312" s="12"/>
      <c r="T312" s="12"/>
      <c r="U312" s="24"/>
    </row>
    <row r="313" spans="1:21" ht="15.5" x14ac:dyDescent="0.35">
      <c r="A313" s="25" t="s">
        <v>214</v>
      </c>
      <c r="B313" s="12"/>
      <c r="C313" s="12"/>
      <c r="D313" s="12"/>
      <c r="E313" s="12"/>
      <c r="F313" s="12"/>
      <c r="G313" s="12"/>
      <c r="J313" s="29" t="s">
        <v>72</v>
      </c>
      <c r="K313" s="12" t="s">
        <v>213</v>
      </c>
      <c r="L313" s="36">
        <v>1</v>
      </c>
      <c r="M313" s="38" t="s">
        <v>213</v>
      </c>
      <c r="N313" s="35">
        <v>1</v>
      </c>
      <c r="O313" s="35" t="s">
        <v>213</v>
      </c>
      <c r="P313" s="35">
        <f>1-P312</f>
        <v>0.27214428857715378</v>
      </c>
      <c r="Q313" s="12" t="s">
        <v>211</v>
      </c>
      <c r="R313" s="35">
        <v>1</v>
      </c>
      <c r="S313" s="12"/>
      <c r="T313" s="12"/>
      <c r="U313" s="24"/>
    </row>
    <row r="314" spans="1:21" ht="15.5" x14ac:dyDescent="0.35">
      <c r="A314" s="16"/>
      <c r="B314" s="12" t="s">
        <v>215</v>
      </c>
      <c r="C314" s="12" t="s">
        <v>208</v>
      </c>
      <c r="D314" s="12" t="s">
        <v>209</v>
      </c>
      <c r="E314" s="12" t="s">
        <v>210</v>
      </c>
      <c r="F314" s="12" t="s">
        <v>211</v>
      </c>
      <c r="G314" s="12"/>
      <c r="J314" s="29" t="s">
        <v>73</v>
      </c>
      <c r="K314" s="12" t="s">
        <v>213</v>
      </c>
      <c r="L314" s="36">
        <v>1</v>
      </c>
      <c r="M314" s="38" t="s">
        <v>213</v>
      </c>
      <c r="N314" s="35">
        <v>1</v>
      </c>
      <c r="O314" s="35" t="s">
        <v>213</v>
      </c>
      <c r="P314" s="35">
        <v>1</v>
      </c>
      <c r="Q314" s="12" t="s">
        <v>211</v>
      </c>
      <c r="R314" s="35">
        <f>(F326-3501)/499</f>
        <v>0.47494989979959917</v>
      </c>
      <c r="S314" s="12"/>
      <c r="T314" s="12"/>
      <c r="U314" s="24"/>
    </row>
    <row r="315" spans="1:21" ht="15.5" x14ac:dyDescent="0.35">
      <c r="A315" s="16" t="s">
        <v>42</v>
      </c>
      <c r="B315" s="29">
        <f>B312*0.7</f>
        <v>87220</v>
      </c>
      <c r="C315" s="29">
        <f>B315*0.3</f>
        <v>26166</v>
      </c>
      <c r="D315" s="29">
        <f>B315*0.5</f>
        <v>43610</v>
      </c>
      <c r="E315" s="29">
        <f>B315*0.8</f>
        <v>69776</v>
      </c>
      <c r="F315" s="29">
        <f>B315*1.2</f>
        <v>104664</v>
      </c>
      <c r="G315" s="12"/>
      <c r="J315" s="29" t="s">
        <v>73</v>
      </c>
      <c r="K315" s="12" t="s">
        <v>213</v>
      </c>
      <c r="L315" s="36">
        <v>1</v>
      </c>
      <c r="M315" s="38" t="s">
        <v>213</v>
      </c>
      <c r="N315" s="35">
        <v>1</v>
      </c>
      <c r="O315" s="35" t="s">
        <v>213</v>
      </c>
      <c r="P315" s="35">
        <v>1</v>
      </c>
      <c r="Q315" s="12" t="s">
        <v>213</v>
      </c>
      <c r="R315" s="35">
        <f>1-R314</f>
        <v>0.52505010020040088</v>
      </c>
      <c r="S315" s="12"/>
      <c r="T315" s="12"/>
      <c r="U315" s="24"/>
    </row>
    <row r="316" spans="1:21" ht="15.5" x14ac:dyDescent="0.35">
      <c r="A316" s="16" t="s">
        <v>216</v>
      </c>
      <c r="B316" s="29">
        <f>B312*0.8</f>
        <v>99680</v>
      </c>
      <c r="C316" s="29">
        <f t="shared" ref="C316:C318" si="84">B316*0.3</f>
        <v>29904</v>
      </c>
      <c r="D316" s="29">
        <f t="shared" ref="D316:D318" si="85">B316*0.5</f>
        <v>49840</v>
      </c>
      <c r="E316" s="29">
        <f t="shared" ref="E316:E318" si="86">B316*0.8</f>
        <v>79744</v>
      </c>
      <c r="F316" s="29">
        <f t="shared" ref="F316:F318" si="87">B316*1.2</f>
        <v>119616</v>
      </c>
      <c r="G316" s="12"/>
      <c r="J316" s="29" t="s">
        <v>74</v>
      </c>
      <c r="K316" s="12" t="s">
        <v>213</v>
      </c>
      <c r="L316" s="36">
        <v>1</v>
      </c>
      <c r="M316" s="38" t="s">
        <v>213</v>
      </c>
      <c r="N316" s="35">
        <v>1</v>
      </c>
      <c r="O316" s="35" t="s">
        <v>213</v>
      </c>
      <c r="P316" s="35">
        <v>1</v>
      </c>
      <c r="Q316" s="12" t="s">
        <v>213</v>
      </c>
      <c r="R316" s="35">
        <v>1</v>
      </c>
      <c r="S316" s="12"/>
      <c r="T316" s="12"/>
      <c r="U316" s="24"/>
    </row>
    <row r="317" spans="1:21" ht="15.5" x14ac:dyDescent="0.35">
      <c r="A317" s="16" t="s">
        <v>217</v>
      </c>
      <c r="B317" s="29">
        <f>B312*0.9</f>
        <v>112140</v>
      </c>
      <c r="C317" s="29">
        <f t="shared" si="84"/>
        <v>33642</v>
      </c>
      <c r="D317" s="29">
        <f t="shared" si="85"/>
        <v>56070</v>
      </c>
      <c r="E317" s="29">
        <f t="shared" si="86"/>
        <v>89712</v>
      </c>
      <c r="F317" s="29">
        <f t="shared" si="87"/>
        <v>134568</v>
      </c>
      <c r="G317" s="12"/>
      <c r="J317" s="29" t="s">
        <v>74</v>
      </c>
      <c r="K317" s="12" t="s">
        <v>213</v>
      </c>
      <c r="L317" s="36">
        <v>1</v>
      </c>
      <c r="M317" s="38" t="s">
        <v>213</v>
      </c>
      <c r="N317" s="35">
        <v>1</v>
      </c>
      <c r="O317" s="35" t="s">
        <v>213</v>
      </c>
      <c r="P317" s="35">
        <v>1</v>
      </c>
      <c r="Q317" s="12" t="s">
        <v>213</v>
      </c>
      <c r="R317" s="35">
        <v>1</v>
      </c>
      <c r="S317" s="12"/>
      <c r="T317" s="12"/>
      <c r="U317" s="24"/>
    </row>
    <row r="318" spans="1:21" ht="15.5" x14ac:dyDescent="0.35">
      <c r="A318" s="16" t="s">
        <v>218</v>
      </c>
      <c r="B318" s="29">
        <f>B312</f>
        <v>124600</v>
      </c>
      <c r="C318" s="29">
        <f t="shared" si="84"/>
        <v>37380</v>
      </c>
      <c r="D318" s="29">
        <f t="shared" si="85"/>
        <v>62300</v>
      </c>
      <c r="E318" s="29">
        <f t="shared" si="86"/>
        <v>99680</v>
      </c>
      <c r="F318" s="29">
        <f t="shared" si="87"/>
        <v>149520</v>
      </c>
      <c r="G318" s="12"/>
      <c r="J318" s="29" t="s">
        <v>75</v>
      </c>
      <c r="K318" s="12" t="s">
        <v>213</v>
      </c>
      <c r="L318" s="36">
        <v>1</v>
      </c>
      <c r="M318" s="38" t="s">
        <v>213</v>
      </c>
      <c r="N318" s="35">
        <v>1</v>
      </c>
      <c r="O318" s="35" t="s">
        <v>213</v>
      </c>
      <c r="P318" s="35">
        <v>1</v>
      </c>
      <c r="Q318" s="12" t="s">
        <v>213</v>
      </c>
      <c r="R318" s="35">
        <v>1</v>
      </c>
      <c r="S318" s="12"/>
      <c r="T318" s="12"/>
      <c r="U318" s="24"/>
    </row>
    <row r="319" spans="1:21" ht="15.5" x14ac:dyDescent="0.35">
      <c r="A319" s="16"/>
      <c r="B319" s="29"/>
      <c r="C319" s="29"/>
      <c r="D319" s="29"/>
      <c r="E319" s="29"/>
      <c r="F319" s="29"/>
      <c r="G319" s="12"/>
      <c r="J319" s="29"/>
      <c r="K319" s="12"/>
      <c r="L319" s="36"/>
      <c r="M319" s="38"/>
      <c r="N319" s="35"/>
      <c r="O319" s="35"/>
      <c r="P319" s="35"/>
      <c r="Q319" s="12"/>
      <c r="R319" s="35"/>
      <c r="S319" s="12"/>
      <c r="T319" s="12"/>
      <c r="U319" s="24"/>
    </row>
    <row r="320" spans="1:21" ht="15.75" customHeight="1" x14ac:dyDescent="0.35">
      <c r="A320" s="16"/>
      <c r="B320" s="12"/>
      <c r="C320" s="12"/>
      <c r="D320" s="12"/>
      <c r="E320" s="12"/>
      <c r="F320" s="12"/>
      <c r="G320" s="12"/>
      <c r="H320" s="50" t="s">
        <v>232</v>
      </c>
      <c r="I320" s="47"/>
      <c r="J320" s="47"/>
      <c r="K320" s="47"/>
      <c r="L320" s="47"/>
      <c r="M320" s="47"/>
      <c r="N320" s="47"/>
      <c r="O320" s="47"/>
      <c r="P320" s="47"/>
      <c r="Q320" s="47"/>
      <c r="R320" s="12"/>
      <c r="S320" s="12"/>
      <c r="T320" s="12"/>
      <c r="U320" s="24"/>
    </row>
    <row r="321" spans="1:21" ht="15.5" x14ac:dyDescent="0.35">
      <c r="A321" s="25" t="s">
        <v>220</v>
      </c>
      <c r="B321" s="12"/>
      <c r="C321" s="12"/>
      <c r="D321" s="12"/>
      <c r="E321" s="12"/>
      <c r="F321" s="12"/>
      <c r="G321" s="12"/>
      <c r="H321" s="47"/>
      <c r="I321" s="47"/>
      <c r="J321" s="47"/>
      <c r="K321" s="47"/>
      <c r="L321" s="47"/>
      <c r="M321" s="47"/>
      <c r="N321" s="47"/>
      <c r="O321" s="47"/>
      <c r="P321" s="47"/>
      <c r="Q321" s="47"/>
      <c r="R321" s="12"/>
      <c r="S321" s="12"/>
      <c r="T321" s="12"/>
      <c r="U321" s="24"/>
    </row>
    <row r="322" spans="1:21" ht="15.5" x14ac:dyDescent="0.35">
      <c r="A322" s="16"/>
      <c r="B322" s="12" t="s">
        <v>215</v>
      </c>
      <c r="C322" s="12" t="s">
        <v>208</v>
      </c>
      <c r="D322" s="12" t="s">
        <v>209</v>
      </c>
      <c r="E322" s="12" t="s">
        <v>210</v>
      </c>
      <c r="F322" s="12" t="s">
        <v>211</v>
      </c>
      <c r="G322" s="12"/>
      <c r="H322" s="12"/>
      <c r="I322" s="12" t="s">
        <v>76</v>
      </c>
      <c r="J322" s="12" t="s">
        <v>165</v>
      </c>
      <c r="K322" s="12" t="s">
        <v>79</v>
      </c>
      <c r="L322" s="29" t="s">
        <v>67</v>
      </c>
      <c r="M322" s="29" t="s">
        <v>68</v>
      </c>
      <c r="N322" s="29" t="s">
        <v>69</v>
      </c>
      <c r="O322" s="29" t="s">
        <v>70</v>
      </c>
      <c r="P322" s="29" t="s">
        <v>71</v>
      </c>
      <c r="Q322" s="29" t="s">
        <v>72</v>
      </c>
      <c r="R322" s="29" t="s">
        <v>73</v>
      </c>
      <c r="S322" s="29" t="s">
        <v>74</v>
      </c>
      <c r="T322" s="29" t="s">
        <v>75</v>
      </c>
      <c r="U322" s="24"/>
    </row>
    <row r="323" spans="1:21" ht="15.5" x14ac:dyDescent="0.35">
      <c r="A323" s="16" t="s">
        <v>42</v>
      </c>
      <c r="B323" s="29">
        <f t="shared" ref="B323:F326" si="88">B315*0.3/12</f>
        <v>2180.5</v>
      </c>
      <c r="C323" s="29">
        <f t="shared" si="88"/>
        <v>654.15</v>
      </c>
      <c r="D323" s="29">
        <f t="shared" si="88"/>
        <v>1090.25</v>
      </c>
      <c r="E323" s="29">
        <f t="shared" si="88"/>
        <v>1744.3999999999999</v>
      </c>
      <c r="F323" s="29">
        <f t="shared" si="88"/>
        <v>2616.6</v>
      </c>
      <c r="G323" s="12"/>
      <c r="H323" s="12" t="s">
        <v>42</v>
      </c>
      <c r="I323" s="12">
        <f>COUNTIFS('ADU Homeowner Survey 2025'!$AG:$AG,"2025",'ADU Homeowner Survey 2025'!$B:$B,"Solano County", 'ADU Homeowner Survey 2025'!$Q:$Q, "0 (studio)",'ADU Homeowner Survey 2025'!$R:$R, "Not planning to use for housing")</f>
        <v>1</v>
      </c>
      <c r="J323" s="12">
        <f>COUNTIFS('ADU Homeowner Survey 2025'!$AG:$AG,"2025",'ADU Homeowner Survey 2025'!$B:$B,"Solano County", 'ADU Homeowner Survey 2025'!$Q:$Q, "0 (studio)",'ADU Homeowner Survey 2025'!$R:$R, "Decline to state")</f>
        <v>0</v>
      </c>
      <c r="K323" s="12">
        <f>COUNTIFS('ADU Homeowner Survey 2025'!$AG:$AG,"2025",'ADU Homeowner Survey 2025'!$B:$B,"Solano County", 'ADU Homeowner Survey 2025'!$Q:$Q, "0 (studio)",'ADU Homeowner Survey 2025'!$R:$R, "Not planning to charge rent")</f>
        <v>0</v>
      </c>
      <c r="L323" s="12">
        <f>COUNTIFS('ADU Homeowner Survey 2025'!$AG:$AG,"2025",'ADU Homeowner Survey 2025'!$B:$B,"Solano County", 'ADU Homeowner Survey 2025'!$Q:$Q, "0 (studio)",'ADU Homeowner Survey 2025'!$R:$R, "$1 - $1,000")</f>
        <v>1</v>
      </c>
      <c r="M323" s="12">
        <f>COUNTIFS('ADU Homeowner Survey 2025'!$AG:$AG,"2025",'ADU Homeowner Survey 2025'!$B:$B,"Solano County", 'ADU Homeowner Survey 2025'!$Q:$Q, "0 (studio)",'ADU Homeowner Survey 2025'!$R:$R, "$1,001 - $1,500")</f>
        <v>2</v>
      </c>
      <c r="N323" s="12">
        <f>COUNTIFS('ADU Homeowner Survey 2025'!$AG:$AG,"2025",'ADU Homeowner Survey 2025'!$B:$B,"Solano County", 'ADU Homeowner Survey 2025'!$Q:$Q, "0 (studio)",'ADU Homeowner Survey 2025'!$R:$R, "$1,501 - $2,000")</f>
        <v>0</v>
      </c>
      <c r="O323" s="12">
        <f>COUNTIFS('ADU Homeowner Survey 2025'!$AG:$AG,"2025",'ADU Homeowner Survey 2025'!$B:$B,"Solano County", 'ADU Homeowner Survey 2025'!$Q:$Q, "0 (studio)",'ADU Homeowner Survey 2025'!$R:$R, "$2,001 - $2,500")</f>
        <v>0</v>
      </c>
      <c r="P323" s="12">
        <f>COUNTIFS('ADU Homeowner Survey 2025'!$AG:$AG,"2025",'ADU Homeowner Survey 2025'!$B:$B,"Solano County", 'ADU Homeowner Survey 2025'!$Q:$Q, "0 (studio)",'ADU Homeowner Survey 2025'!$R:$R, "$2,501 - $3,000")</f>
        <v>0</v>
      </c>
      <c r="Q323" s="12">
        <f>COUNTIFS('ADU Homeowner Survey 2025'!$AG:$AG,"2025",'ADU Homeowner Survey 2025'!$B:$B,"Solano County", 'ADU Homeowner Survey 2025'!$Q:$Q, "0 (studio)",'ADU Homeowner Survey 2025'!$R:$R, "$3,001 - $3,500")</f>
        <v>0</v>
      </c>
      <c r="R323" s="12">
        <f>COUNTIFS('ADU Homeowner Survey 2025'!$AG:$AG,"2025",'ADU Homeowner Survey 2025'!$B:$B,"Solano County", 'ADU Homeowner Survey 2025'!$Q:$Q, "0 (studio)",'ADU Homeowner Survey 2025'!$R:$R, "$3,501 - $4,000")</f>
        <v>0</v>
      </c>
      <c r="S323" s="12">
        <f>COUNTIFS('ADU Homeowner Survey 2025'!$AG:$AG,"2025",'ADU Homeowner Survey 2025'!$B:$B,"Solano County", 'ADU Homeowner Survey 2025'!$Q:$Q, "0 (studio)",'ADU Homeowner Survey 2025'!$R:$R, "$4,001 - $4,500")</f>
        <v>0</v>
      </c>
      <c r="T323" s="12">
        <f>COUNTIFS('ADU Homeowner Survey 2025'!$AG:$AG,"2025",'ADU Homeowner Survey 2025'!$B:$B,"Solano County", 'ADU Homeowner Survey 2025'!$Q:$Q, "0 (studio)",'ADU Homeowner Survey 2025'!$R:$R, "More than $4,500")</f>
        <v>0</v>
      </c>
      <c r="U323" s="24">
        <f>SUM(I323:T323)</f>
        <v>4</v>
      </c>
    </row>
    <row r="324" spans="1:21" ht="15.5" x14ac:dyDescent="0.35">
      <c r="A324" s="16" t="s">
        <v>216</v>
      </c>
      <c r="B324" s="29">
        <f t="shared" si="88"/>
        <v>2492</v>
      </c>
      <c r="C324" s="29">
        <f t="shared" si="88"/>
        <v>747.59999999999991</v>
      </c>
      <c r="D324" s="29">
        <f t="shared" si="88"/>
        <v>1246</v>
      </c>
      <c r="E324" s="29">
        <f t="shared" si="88"/>
        <v>1993.6000000000001</v>
      </c>
      <c r="F324" s="29">
        <f t="shared" si="88"/>
        <v>2990.3999999999996</v>
      </c>
      <c r="G324" s="12"/>
      <c r="H324" s="12" t="s">
        <v>216</v>
      </c>
      <c r="I324" s="12">
        <f>COUNTIFS('ADU Homeowner Survey 2025'!$AG:$AG,"2025",'ADU Homeowner Survey 2025'!$B:$B,"Solano County", 'ADU Homeowner Survey 2025'!$Q:$Q, "1",'ADU Homeowner Survey 2025'!$R:$R, "Not planning to use for housing")</f>
        <v>0</v>
      </c>
      <c r="J324" s="12">
        <f>COUNTIFS('ADU Homeowner Survey 2025'!$AG:$AG,"2025",'ADU Homeowner Survey 2025'!$B:$B,"Solano County", 'ADU Homeowner Survey 2025'!$Q:$Q, "1",'ADU Homeowner Survey 2025'!$R:$R, "Decline to state")</f>
        <v>0</v>
      </c>
      <c r="K324" s="12">
        <f>COUNTIFS('ADU Homeowner Survey 2025'!$AG:$AG,"2025",'ADU Homeowner Survey 2025'!$B:$B,"Solano County", 'ADU Homeowner Survey 2025'!$Q:$Q, "1",'ADU Homeowner Survey 2025'!$R:$R, "Not planning to charge rent")</f>
        <v>5</v>
      </c>
      <c r="L324" s="12">
        <f>COUNTIFS('ADU Homeowner Survey 2025'!$AG:$AG,"2025",'ADU Homeowner Survey 2025'!$B:$B,"Solano County", 'ADU Homeowner Survey 2025'!$Q:$Q, "1",'ADU Homeowner Survey 2025'!$R:$R, "$1 - $1,000")</f>
        <v>2</v>
      </c>
      <c r="M324" s="12">
        <f>COUNTIFS('ADU Homeowner Survey 2025'!$AG:$AG,"2025",'ADU Homeowner Survey 2025'!$B:$B,"Solano County", 'ADU Homeowner Survey 2025'!$Q:$Q, "1",'ADU Homeowner Survey 2025'!$R:$R, "$1,001 - $1,500")</f>
        <v>2</v>
      </c>
      <c r="N324" s="12">
        <f>COUNTIFS('ADU Homeowner Survey 2025'!$AG:$AG,"2025",'ADU Homeowner Survey 2025'!$B:$B,"Solano County", 'ADU Homeowner Survey 2025'!$Q:$Q, "1",'ADU Homeowner Survey 2025'!$R:$R, "$1,501 - $2,000")</f>
        <v>0</v>
      </c>
      <c r="O324" s="12">
        <f>COUNTIFS('ADU Homeowner Survey 2025'!$AG:$AG,"2025",'ADU Homeowner Survey 2025'!$B:$B,"Solano County", 'ADU Homeowner Survey 2025'!$Q:$Q, "1",'ADU Homeowner Survey 2025'!$R:$R, "$2,001 - $2,500")</f>
        <v>0</v>
      </c>
      <c r="P324" s="12">
        <f>COUNTIFS('ADU Homeowner Survey 2025'!$AG:$AG,"2025",'ADU Homeowner Survey 2025'!$B:$B,"Solano County", 'ADU Homeowner Survey 2025'!$Q:$Q, "1",'ADU Homeowner Survey 2025'!$R:$R, "$2,501 - $3,000")</f>
        <v>0</v>
      </c>
      <c r="Q324" s="12">
        <f>COUNTIFS('ADU Homeowner Survey 2025'!$AG:$AG,"2025",'ADU Homeowner Survey 2025'!$B:$B,"Solano County", 'ADU Homeowner Survey 2025'!$Q:$Q, "1",'ADU Homeowner Survey 2025'!$R:$R, "$3,001 - $3,500")</f>
        <v>0</v>
      </c>
      <c r="R324" s="12">
        <f>COUNTIFS('ADU Homeowner Survey 2025'!$AG:$AG,"2025",'ADU Homeowner Survey 2025'!$B:$B,"Solano County", 'ADU Homeowner Survey 2025'!$Q:$Q, "1",'ADU Homeowner Survey 2025'!$R:$R, "$3,501 - $4,000")</f>
        <v>0</v>
      </c>
      <c r="S324" s="12">
        <f>COUNTIFS('ADU Homeowner Survey 2025'!$AG:$AG,"2025",'ADU Homeowner Survey 2025'!$B:$B,"Solano County", 'ADU Homeowner Survey 2025'!$Q:$Q, "1",'ADU Homeowner Survey 2025'!$R:$R, "$4,001 - $4,500")</f>
        <v>0</v>
      </c>
      <c r="T324" s="12">
        <f>COUNTIFS('ADU Homeowner Survey 2025'!$AG:$AG,"2025",'ADU Homeowner Survey 2025'!$B:$B,"Solano County", 'ADU Homeowner Survey 2025'!$Q:$Q, "1",'ADU Homeowner Survey 2025'!$R:$R, "More than $4,500")</f>
        <v>0</v>
      </c>
      <c r="U324" s="24">
        <f t="shared" ref="U324:U327" si="89">SUM(I324:T324)</f>
        <v>9</v>
      </c>
    </row>
    <row r="325" spans="1:21" ht="15.5" x14ac:dyDescent="0.35">
      <c r="A325" s="16" t="s">
        <v>217</v>
      </c>
      <c r="B325" s="29">
        <f t="shared" si="88"/>
        <v>2803.5</v>
      </c>
      <c r="C325" s="29">
        <f t="shared" si="88"/>
        <v>841.05000000000007</v>
      </c>
      <c r="D325" s="29">
        <f t="shared" si="88"/>
        <v>1401.75</v>
      </c>
      <c r="E325" s="29">
        <f t="shared" si="88"/>
        <v>2242.7999999999997</v>
      </c>
      <c r="F325" s="29">
        <f t="shared" si="88"/>
        <v>3364.2000000000003</v>
      </c>
      <c r="G325" s="12"/>
      <c r="H325" s="12" t="s">
        <v>217</v>
      </c>
      <c r="I325" s="12">
        <f>COUNTIFS('ADU Homeowner Survey 2025'!$AG:$AG,"2025",'ADU Homeowner Survey 2025'!$B:$B,"Solano County", 'ADU Homeowner Survey 2025'!$Q:$Q, "2",'ADU Homeowner Survey 2025'!$R:$R, "Not planning to use for housing")</f>
        <v>0</v>
      </c>
      <c r="J325" s="12">
        <f>COUNTIFS('ADU Homeowner Survey 2025'!$AG:$AG,"2025",'ADU Homeowner Survey 2025'!$B:$B,"Solano County", 'ADU Homeowner Survey 2025'!$Q:$Q, "2",'ADU Homeowner Survey 2025'!$R:$R, "Decline to state")</f>
        <v>0</v>
      </c>
      <c r="K325" s="12">
        <f>COUNTIFS('ADU Homeowner Survey 2025'!$AG:$AG,"2025",'ADU Homeowner Survey 2025'!$B:$B,"Solano County", 'ADU Homeowner Survey 2025'!$Q:$Q, "2",'ADU Homeowner Survey 2025'!$R:$R, "Not planning to charge rent")</f>
        <v>0</v>
      </c>
      <c r="L325" s="12">
        <f>COUNTIFS('ADU Homeowner Survey 2025'!$AG:$AG,"2025",'ADU Homeowner Survey 2025'!$B:$B,"Solano County", 'ADU Homeowner Survey 2025'!$Q:$Q, "2",'ADU Homeowner Survey 2025'!$R:$R, "$1 - $1,000")</f>
        <v>0</v>
      </c>
      <c r="M325" s="12">
        <f>COUNTIFS('ADU Homeowner Survey 2025'!$AG:$AG,"2025",'ADU Homeowner Survey 2025'!$B:$B,"Solano County", 'ADU Homeowner Survey 2025'!$Q:$Q, "2",'ADU Homeowner Survey 2025'!$R:$R, "$1,001 - $1,500")</f>
        <v>0</v>
      </c>
      <c r="N325" s="12">
        <f>COUNTIFS('ADU Homeowner Survey 2025'!$AG:$AG,"2025",'ADU Homeowner Survey 2025'!$B:$B,"Solano County", 'ADU Homeowner Survey 2025'!$Q:$Q, "2",'ADU Homeowner Survey 2025'!$R:$R, "$1,501 - $2,000")</f>
        <v>2</v>
      </c>
      <c r="O325" s="12">
        <f>COUNTIFS('ADU Homeowner Survey 2025'!$AG:$AG,"2025",'ADU Homeowner Survey 2025'!$B:$B,"Solano County", 'ADU Homeowner Survey 2025'!$Q:$Q, "2",'ADU Homeowner Survey 2025'!$R:$R, "$2,001 - $2,500")</f>
        <v>1</v>
      </c>
      <c r="P325" s="12">
        <f>COUNTIFS('ADU Homeowner Survey 2025'!$AG:$AG,"2025",'ADU Homeowner Survey 2025'!$B:$B,"Solano County", 'ADU Homeowner Survey 2025'!$Q:$Q, "2",'ADU Homeowner Survey 2025'!$R:$R, "$2,501 - $3,000")</f>
        <v>1</v>
      </c>
      <c r="Q325" s="12">
        <f>COUNTIFS('ADU Homeowner Survey 2025'!$AG:$AG,"2025",'ADU Homeowner Survey 2025'!$B:$B,"Solano County", 'ADU Homeowner Survey 2025'!$Q:$Q, "2",'ADU Homeowner Survey 2025'!$R:$R, "$3,001 - $3,500")</f>
        <v>0</v>
      </c>
      <c r="R325" s="12">
        <f>COUNTIFS('ADU Homeowner Survey 2025'!$AG:$AG,"2025",'ADU Homeowner Survey 2025'!$B:$B,"Solano County", 'ADU Homeowner Survey 2025'!$Q:$Q, "2",'ADU Homeowner Survey 2025'!$R:$R, "$3,501 - $4,000")</f>
        <v>0</v>
      </c>
      <c r="S325" s="12">
        <f>COUNTIFS('ADU Homeowner Survey 2025'!$AG:$AG,"2025",'ADU Homeowner Survey 2025'!$B:$B,"Solano County", 'ADU Homeowner Survey 2025'!$Q:$Q, "2",'ADU Homeowner Survey 2025'!$R:$R, "$4,001 - $4,500")</f>
        <v>0</v>
      </c>
      <c r="T325" s="12">
        <f>COUNTIFS('ADU Homeowner Survey 2025'!$AG:$AG,"2025",'ADU Homeowner Survey 2025'!$B:$B,"Solano County", 'ADU Homeowner Survey 2025'!$Q:$Q, "2",'ADU Homeowner Survey 2025'!$R:$R, "More than $4,500")</f>
        <v>0</v>
      </c>
      <c r="U325" s="24">
        <f t="shared" si="89"/>
        <v>4</v>
      </c>
    </row>
    <row r="326" spans="1:21" ht="15.5" x14ac:dyDescent="0.35">
      <c r="A326" s="16" t="s">
        <v>218</v>
      </c>
      <c r="B326" s="29">
        <f t="shared" si="88"/>
        <v>3115</v>
      </c>
      <c r="C326" s="29">
        <f t="shared" si="88"/>
        <v>934.5</v>
      </c>
      <c r="D326" s="29">
        <f t="shared" si="88"/>
        <v>1557.5</v>
      </c>
      <c r="E326" s="29">
        <f t="shared" si="88"/>
        <v>2492</v>
      </c>
      <c r="F326" s="29">
        <f t="shared" si="88"/>
        <v>3738</v>
      </c>
      <c r="G326" s="12"/>
      <c r="H326" s="12" t="s">
        <v>221</v>
      </c>
      <c r="I326" s="12">
        <f>COUNTIFS('ADU Homeowner Survey 2025'!$AG:$AG,"2025",'ADU Homeowner Survey 2025'!$B:$B,"Solano County", 'ADU Homeowner Survey 2025'!$Q:$Q, "3 or more",'ADU Homeowner Survey 2025'!$R:$R, "Not planning to use for housing")</f>
        <v>0</v>
      </c>
      <c r="J326" s="12">
        <f>COUNTIFS('ADU Homeowner Survey 2025'!$AG:$AG,"2025",'ADU Homeowner Survey 2025'!$B:$B,"Solano County", 'ADU Homeowner Survey 2025'!$Q:$Q, "3 or more",'ADU Homeowner Survey 2025'!$R:$R, "Decline to state")</f>
        <v>0</v>
      </c>
      <c r="K326" s="12">
        <f>COUNTIFS('ADU Homeowner Survey 2025'!$AG:$AG,"2025",'ADU Homeowner Survey 2025'!$B:$B,"Solano County", 'ADU Homeowner Survey 2025'!$Q:$Q, "3 or more",'ADU Homeowner Survey 2025'!$R:$R, "Not planning to charge rent")</f>
        <v>1</v>
      </c>
      <c r="L326" s="12">
        <f>COUNTIFS('ADU Homeowner Survey 2025'!$AG:$AG,"2025",'ADU Homeowner Survey 2025'!$B:$B,"Solano County", 'ADU Homeowner Survey 2025'!$Q:$Q, "3 or more",'ADU Homeowner Survey 2025'!$R:$R, "$1 - $1,000")</f>
        <v>0</v>
      </c>
      <c r="M326" s="12">
        <f>COUNTIFS('ADU Homeowner Survey 2025'!$AG:$AG,"2025",'ADU Homeowner Survey 2025'!$B:$B,"Solano County", 'ADU Homeowner Survey 2025'!$Q:$Q, "3 or more",'ADU Homeowner Survey 2025'!$R:$R, "$1,001 - $1,500")</f>
        <v>0</v>
      </c>
      <c r="N326" s="12">
        <f>COUNTIFS('ADU Homeowner Survey 2025'!$AG:$AG,"2025",'ADU Homeowner Survey 2025'!$B:$B,"Solano County", 'ADU Homeowner Survey 2025'!$Q:$Q, "3 or more",'ADU Homeowner Survey 2025'!$R:$R, "$1,501 - $2,000")</f>
        <v>0</v>
      </c>
      <c r="O326" s="12">
        <f>COUNTIFS('ADU Homeowner Survey 2025'!$AG:$AG,"2025",'ADU Homeowner Survey 2025'!$B:$B,"Solano County", 'ADU Homeowner Survey 2025'!$Q:$Q, "3 or more",'ADU Homeowner Survey 2025'!$R:$R, "$2,001 - $2,500")</f>
        <v>0</v>
      </c>
      <c r="P326" s="12">
        <f>COUNTIFS('ADU Homeowner Survey 2025'!$AG:$AG,"2025",'ADU Homeowner Survey 2025'!$B:$B,"Solano County", 'ADU Homeowner Survey 2025'!$Q:$Q, "3 or more",'ADU Homeowner Survey 2025'!$R:$R, "$2,501 - $3,000")</f>
        <v>0</v>
      </c>
      <c r="Q326" s="12">
        <f>COUNTIFS('ADU Homeowner Survey 2025'!$AG:$AG,"2025",'ADU Homeowner Survey 2025'!$B:$B,"Solano County", 'ADU Homeowner Survey 2025'!$Q:$Q, "3 or more",'ADU Homeowner Survey 2025'!$R:$R, "$3,001 - $3,500")</f>
        <v>0</v>
      </c>
      <c r="R326" s="12">
        <f>COUNTIFS('ADU Homeowner Survey 2025'!$AG:$AG,"2025",'ADU Homeowner Survey 2025'!$B:$B,"Solano County", 'ADU Homeowner Survey 2025'!$Q:$Q, "3 or more",'ADU Homeowner Survey 2025'!$R:$R, "$3,501 - $4,000")</f>
        <v>0</v>
      </c>
      <c r="S326" s="12">
        <f>COUNTIFS('ADU Homeowner Survey 2025'!$AG:$AG,"2025",'ADU Homeowner Survey 2025'!$B:$B,"Solano County", 'ADU Homeowner Survey 2025'!$Q:$Q, "3 or more",'ADU Homeowner Survey 2025'!$R:$R, "$4,001 - $4,500")</f>
        <v>0</v>
      </c>
      <c r="T326" s="12">
        <f>COUNTIFS('ADU Homeowner Survey 2025'!$AG:$AG,"2025",'ADU Homeowner Survey 2025'!$B:$B,"Solano County", 'ADU Homeowner Survey 2025'!$Q:$Q, "3 or more",'ADU Homeowner Survey 2025'!$R:$R, "More than $4,500")</f>
        <v>0</v>
      </c>
      <c r="U326" s="24">
        <f t="shared" si="89"/>
        <v>1</v>
      </c>
    </row>
    <row r="327" spans="1:21" ht="15.5" x14ac:dyDescent="0.35">
      <c r="A327" s="16"/>
      <c r="B327" s="29"/>
      <c r="C327" s="29"/>
      <c r="D327" s="29"/>
      <c r="E327" s="29"/>
      <c r="F327" s="29"/>
      <c r="G327" s="12"/>
      <c r="H327" s="12" t="s">
        <v>222</v>
      </c>
      <c r="I327" s="12">
        <f>SUM(I323:I326)</f>
        <v>1</v>
      </c>
      <c r="J327" s="12">
        <f>SUM(J323:J326)</f>
        <v>0</v>
      </c>
      <c r="K327" s="12">
        <f t="shared" ref="K327:T327" si="90">SUM(K323:K326)</f>
        <v>6</v>
      </c>
      <c r="L327" s="12">
        <f t="shared" si="90"/>
        <v>3</v>
      </c>
      <c r="M327" s="12">
        <f t="shared" si="90"/>
        <v>4</v>
      </c>
      <c r="N327" s="12">
        <f t="shared" si="90"/>
        <v>2</v>
      </c>
      <c r="O327" s="12">
        <f t="shared" si="90"/>
        <v>1</v>
      </c>
      <c r="P327" s="12">
        <f t="shared" si="90"/>
        <v>1</v>
      </c>
      <c r="Q327" s="12">
        <f t="shared" si="90"/>
        <v>0</v>
      </c>
      <c r="R327" s="12">
        <f t="shared" si="90"/>
        <v>0</v>
      </c>
      <c r="S327" s="12">
        <f t="shared" si="90"/>
        <v>0</v>
      </c>
      <c r="T327" s="12">
        <f t="shared" si="90"/>
        <v>0</v>
      </c>
      <c r="U327" s="24">
        <f t="shared" si="89"/>
        <v>18</v>
      </c>
    </row>
    <row r="328" spans="1:21" ht="15.5" x14ac:dyDescent="0.35">
      <c r="A328" s="16"/>
      <c r="B328" s="29"/>
      <c r="C328" s="29"/>
      <c r="D328" s="29"/>
      <c r="E328" s="29"/>
      <c r="F328" s="29"/>
      <c r="G328" s="12"/>
      <c r="H328" s="12"/>
      <c r="I328" s="12"/>
      <c r="J328" s="12"/>
      <c r="K328" s="12"/>
      <c r="L328" s="12"/>
      <c r="M328" s="12"/>
      <c r="N328" s="12"/>
      <c r="O328" s="12"/>
      <c r="P328" s="12"/>
      <c r="Q328" s="12"/>
      <c r="R328" s="12"/>
      <c r="S328" s="12"/>
      <c r="T328" s="12"/>
      <c r="U328" s="24"/>
    </row>
    <row r="329" spans="1:21" ht="15.75" customHeight="1" x14ac:dyDescent="0.35">
      <c r="A329" s="16"/>
      <c r="B329" s="12"/>
      <c r="C329" s="12"/>
      <c r="D329" s="12"/>
      <c r="E329" s="12"/>
      <c r="F329" s="12"/>
      <c r="G329" s="12"/>
      <c r="H329" s="50" t="s">
        <v>232</v>
      </c>
      <c r="I329" s="47"/>
      <c r="J329" s="47"/>
      <c r="K329" s="47"/>
      <c r="L329" s="47"/>
      <c r="M329" s="47"/>
      <c r="N329" s="47"/>
      <c r="O329" s="47"/>
      <c r="P329" s="47"/>
      <c r="Q329" s="47"/>
      <c r="R329" s="12"/>
      <c r="S329" s="12"/>
      <c r="T329" s="12"/>
      <c r="U329" s="24"/>
    </row>
    <row r="330" spans="1:21" ht="15.5" x14ac:dyDescent="0.35">
      <c r="A330" s="25" t="s">
        <v>220</v>
      </c>
      <c r="B330" s="12"/>
      <c r="C330" s="12"/>
      <c r="D330" s="12"/>
      <c r="E330" s="12"/>
      <c r="F330" s="12"/>
      <c r="G330" s="12"/>
      <c r="H330" s="47"/>
      <c r="I330" s="47"/>
      <c r="J330" s="47"/>
      <c r="K330" s="47"/>
      <c r="L330" s="47"/>
      <c r="M330" s="47"/>
      <c r="N330" s="47"/>
      <c r="O330" s="47"/>
      <c r="P330" s="47"/>
      <c r="Q330" s="47"/>
      <c r="R330" s="12"/>
      <c r="S330" s="12"/>
      <c r="T330" s="12"/>
      <c r="U330" s="24"/>
    </row>
    <row r="331" spans="1:21" ht="15.5" x14ac:dyDescent="0.35">
      <c r="A331" s="16"/>
      <c r="B331" s="12" t="s">
        <v>215</v>
      </c>
      <c r="C331" s="12" t="s">
        <v>208</v>
      </c>
      <c r="D331" s="12" t="s">
        <v>209</v>
      </c>
      <c r="E331" s="12" t="s">
        <v>210</v>
      </c>
      <c r="F331" s="12" t="s">
        <v>211</v>
      </c>
      <c r="G331" s="12"/>
      <c r="H331" s="12"/>
      <c r="I331" s="12" t="s">
        <v>76</v>
      </c>
      <c r="J331" s="12" t="s">
        <v>165</v>
      </c>
      <c r="K331" s="12" t="s">
        <v>208</v>
      </c>
      <c r="L331" s="12" t="s">
        <v>223</v>
      </c>
      <c r="M331" s="12" t="s">
        <v>210</v>
      </c>
      <c r="N331" s="12" t="s">
        <v>211</v>
      </c>
      <c r="O331" s="12" t="s">
        <v>224</v>
      </c>
      <c r="P331" s="12"/>
      <c r="Q331" s="12"/>
      <c r="R331" s="12"/>
      <c r="S331" s="12"/>
      <c r="T331" s="12"/>
      <c r="U331" s="24"/>
    </row>
    <row r="332" spans="1:21" ht="15.5" x14ac:dyDescent="0.35">
      <c r="A332" s="16" t="s">
        <v>42</v>
      </c>
      <c r="B332" s="29" t="s">
        <v>70</v>
      </c>
      <c r="C332" s="12" t="s">
        <v>67</v>
      </c>
      <c r="D332" s="29" t="s">
        <v>68</v>
      </c>
      <c r="E332" s="12" t="s">
        <v>69</v>
      </c>
      <c r="F332" s="12" t="s">
        <v>71</v>
      </c>
      <c r="G332" s="12"/>
      <c r="H332" s="12" t="s">
        <v>42</v>
      </c>
      <c r="I332" s="12">
        <f t="shared" ref="I332:J335" si="91">I323</f>
        <v>1</v>
      </c>
      <c r="J332" s="35">
        <f t="shared" si="91"/>
        <v>0</v>
      </c>
      <c r="K332" s="35">
        <f>K323+L323*L302</f>
        <v>0.65415000000000001</v>
      </c>
      <c r="L332" s="35">
        <f>L323*L303+M323*L304</f>
        <v>0.70356543086172341</v>
      </c>
      <c r="M332" s="35">
        <f>M323*L305+N323*L306</f>
        <v>1.6422845691382766</v>
      </c>
      <c r="N332" s="35">
        <f>N323*L307</f>
        <v>0</v>
      </c>
      <c r="O332" s="35">
        <v>0</v>
      </c>
      <c r="P332" s="35">
        <f>SUM(I332:O332)</f>
        <v>4</v>
      </c>
      <c r="Q332" s="12"/>
      <c r="R332" s="12"/>
      <c r="S332" s="12"/>
      <c r="T332" s="12"/>
      <c r="U332" s="24"/>
    </row>
    <row r="333" spans="1:21" ht="15.5" x14ac:dyDescent="0.35">
      <c r="A333" s="16" t="s">
        <v>216</v>
      </c>
      <c r="B333" s="29" t="s">
        <v>70</v>
      </c>
      <c r="C333" s="12" t="s">
        <v>67</v>
      </c>
      <c r="D333" s="29" t="s">
        <v>68</v>
      </c>
      <c r="E333" s="12" t="s">
        <v>69</v>
      </c>
      <c r="F333" s="12" t="s">
        <v>71</v>
      </c>
      <c r="G333" s="12"/>
      <c r="H333" s="12" t="s">
        <v>216</v>
      </c>
      <c r="I333" s="12">
        <f t="shared" si="91"/>
        <v>0</v>
      </c>
      <c r="J333" s="35">
        <f t="shared" si="91"/>
        <v>0</v>
      </c>
      <c r="K333" s="35">
        <f>K324+L324*N302</f>
        <v>6.4960000000000004</v>
      </c>
      <c r="L333" s="35">
        <f>L324*N303+M324*N304</f>
        <v>1.4859639278557113</v>
      </c>
      <c r="M333" s="7">
        <f>M324*N305</f>
        <v>1.0180360721442887</v>
      </c>
      <c r="N333" s="35">
        <v>0</v>
      </c>
      <c r="O333" s="35">
        <v>0</v>
      </c>
      <c r="P333" s="35">
        <f t="shared" ref="P333:P336" si="92">SUM(I333:O333)</f>
        <v>9</v>
      </c>
      <c r="Q333" s="12"/>
      <c r="R333" s="12"/>
      <c r="S333" s="12"/>
      <c r="T333" s="12"/>
      <c r="U333" s="24"/>
    </row>
    <row r="334" spans="1:21" ht="15.5" x14ac:dyDescent="0.35">
      <c r="A334" s="16" t="s">
        <v>217</v>
      </c>
      <c r="B334" s="12" t="s">
        <v>71</v>
      </c>
      <c r="C334" s="12" t="s">
        <v>67</v>
      </c>
      <c r="D334" s="29" t="s">
        <v>68</v>
      </c>
      <c r="E334" s="29" t="s">
        <v>70</v>
      </c>
      <c r="F334" s="29" t="s">
        <v>72</v>
      </c>
      <c r="G334" s="12"/>
      <c r="H334" s="12" t="s">
        <v>217</v>
      </c>
      <c r="I334" s="12">
        <f t="shared" si="91"/>
        <v>0</v>
      </c>
      <c r="J334" s="35">
        <f t="shared" si="91"/>
        <v>0</v>
      </c>
      <c r="K334" s="35">
        <f>K325</f>
        <v>0</v>
      </c>
      <c r="L334" s="35">
        <f>N325*P306</f>
        <v>0.22645290581162325</v>
      </c>
      <c r="M334" s="35">
        <f>N325*P307+O325*P308</f>
        <v>2.2581162324649293</v>
      </c>
      <c r="N334" s="35">
        <f>O325*P309+P325</f>
        <v>1.5154308617234475</v>
      </c>
      <c r="O334" s="35">
        <v>0</v>
      </c>
      <c r="P334" s="35">
        <f t="shared" si="92"/>
        <v>4</v>
      </c>
      <c r="Q334" s="12"/>
      <c r="R334" s="12"/>
      <c r="S334" s="12"/>
      <c r="T334" s="12"/>
      <c r="U334" s="24"/>
    </row>
    <row r="335" spans="1:21" ht="15.5" x14ac:dyDescent="0.35">
      <c r="A335" s="16" t="s">
        <v>218</v>
      </c>
      <c r="B335" s="29" t="s">
        <v>72</v>
      </c>
      <c r="C335" s="12" t="s">
        <v>67</v>
      </c>
      <c r="D335" s="12" t="s">
        <v>69</v>
      </c>
      <c r="E335" s="29" t="s">
        <v>70</v>
      </c>
      <c r="F335" s="12" t="s">
        <v>73</v>
      </c>
      <c r="G335" s="12"/>
      <c r="H335" s="12" t="s">
        <v>221</v>
      </c>
      <c r="I335" s="12">
        <f t="shared" si="91"/>
        <v>0</v>
      </c>
      <c r="J335" s="35">
        <f t="shared" si="91"/>
        <v>0</v>
      </c>
      <c r="K335" s="35">
        <f>K326</f>
        <v>1</v>
      </c>
      <c r="L335" s="35">
        <v>0</v>
      </c>
      <c r="M335" s="35">
        <v>0</v>
      </c>
      <c r="N335" s="35">
        <v>0</v>
      </c>
      <c r="O335" s="35">
        <v>0</v>
      </c>
      <c r="P335" s="35">
        <f t="shared" si="92"/>
        <v>1</v>
      </c>
      <c r="Q335" s="12"/>
      <c r="R335" s="12"/>
      <c r="S335" s="12"/>
      <c r="T335" s="12"/>
      <c r="U335" s="24"/>
    </row>
    <row r="336" spans="1:21" ht="15.5" x14ac:dyDescent="0.35">
      <c r="A336" s="16"/>
      <c r="B336" s="29"/>
      <c r="C336" s="12"/>
      <c r="D336" s="12"/>
      <c r="E336" s="29"/>
      <c r="F336" s="12"/>
      <c r="G336" s="12"/>
      <c r="H336" s="12" t="s">
        <v>222</v>
      </c>
      <c r="I336" s="12">
        <f>I327</f>
        <v>1</v>
      </c>
      <c r="J336" s="35">
        <f>SUM(J332:J335)</f>
        <v>0</v>
      </c>
      <c r="K336" s="35">
        <f t="shared" ref="K336:O336" si="93">SUM(K332:K335)</f>
        <v>8.15015</v>
      </c>
      <c r="L336" s="35">
        <f t="shared" si="93"/>
        <v>2.4159822645290578</v>
      </c>
      <c r="M336" s="35">
        <f t="shared" si="93"/>
        <v>4.9184368737474946</v>
      </c>
      <c r="N336" s="35">
        <f t="shared" si="93"/>
        <v>1.5154308617234475</v>
      </c>
      <c r="O336" s="35">
        <f t="shared" si="93"/>
        <v>0</v>
      </c>
      <c r="P336" s="35">
        <f t="shared" si="92"/>
        <v>18</v>
      </c>
      <c r="Q336" s="12"/>
      <c r="R336" s="12"/>
      <c r="S336" s="12"/>
      <c r="T336" s="12"/>
      <c r="U336" s="24"/>
    </row>
    <row r="337" spans="1:21" ht="16" thickBot="1" x14ac:dyDescent="0.4">
      <c r="A337" s="18"/>
      <c r="B337" s="26"/>
      <c r="C337" s="26"/>
      <c r="D337" s="26"/>
      <c r="E337" s="26"/>
      <c r="F337" s="26"/>
      <c r="G337" s="26"/>
      <c r="H337" s="26"/>
      <c r="I337" s="26"/>
      <c r="J337" s="26"/>
      <c r="K337" s="26"/>
      <c r="L337" s="26"/>
      <c r="M337" s="26"/>
      <c r="N337" s="26"/>
      <c r="O337" s="26"/>
      <c r="P337" s="26"/>
      <c r="Q337" s="26"/>
      <c r="R337" s="26"/>
      <c r="S337" s="26"/>
      <c r="T337" s="26"/>
      <c r="U337" s="27"/>
    </row>
    <row r="338" spans="1:21" ht="15.5" x14ac:dyDescent="0.35">
      <c r="A338" s="12"/>
      <c r="B338" s="12"/>
      <c r="C338" s="12"/>
      <c r="D338" s="12"/>
      <c r="E338" s="12"/>
      <c r="F338" s="12"/>
      <c r="G338" s="12"/>
      <c r="H338" s="12"/>
      <c r="I338" s="12"/>
      <c r="J338" s="12"/>
      <c r="K338" s="12"/>
      <c r="L338" s="12"/>
      <c r="M338" s="12"/>
      <c r="N338" s="12"/>
      <c r="O338" s="12"/>
      <c r="P338" s="12"/>
      <c r="Q338" s="12"/>
      <c r="R338" s="12"/>
      <c r="S338" s="12"/>
      <c r="T338" s="12"/>
      <c r="U338" s="12"/>
    </row>
    <row r="339" spans="1:21" ht="15" thickBot="1" x14ac:dyDescent="0.4"/>
    <row r="340" spans="1:21" ht="15.5" x14ac:dyDescent="0.35">
      <c r="A340" s="14" t="s">
        <v>153</v>
      </c>
      <c r="B340" s="20"/>
      <c r="C340" s="20"/>
      <c r="D340" s="20"/>
      <c r="E340" s="20"/>
      <c r="F340" s="20"/>
      <c r="G340" s="20"/>
      <c r="H340" s="20"/>
      <c r="I340" s="20"/>
      <c r="J340" s="20"/>
      <c r="K340" s="20"/>
      <c r="L340" s="20"/>
      <c r="M340" s="20"/>
      <c r="N340" s="20"/>
      <c r="O340" s="20"/>
      <c r="P340" s="20"/>
      <c r="Q340" s="20"/>
      <c r="R340" s="20"/>
      <c r="S340" s="20"/>
      <c r="T340" s="20"/>
      <c r="U340" s="21"/>
    </row>
    <row r="341" spans="1:21" ht="15.5" x14ac:dyDescent="0.35">
      <c r="A341" s="16"/>
      <c r="B341" s="12"/>
      <c r="C341" s="12"/>
      <c r="D341" s="12"/>
      <c r="E341" s="12"/>
      <c r="F341" s="12"/>
      <c r="G341" s="12"/>
      <c r="K341" s="5" t="s">
        <v>42</v>
      </c>
      <c r="L341" s="5" t="s">
        <v>42</v>
      </c>
      <c r="M341" s="5" t="s">
        <v>203</v>
      </c>
      <c r="N341" s="5" t="s">
        <v>203</v>
      </c>
      <c r="O341" s="5" t="s">
        <v>204</v>
      </c>
      <c r="P341" s="5" t="s">
        <v>204</v>
      </c>
      <c r="Q341" s="5" t="s">
        <v>205</v>
      </c>
      <c r="R341" s="5" t="s">
        <v>205</v>
      </c>
      <c r="S341" s="12"/>
      <c r="T341" s="12"/>
      <c r="U341" s="24"/>
    </row>
    <row r="342" spans="1:21" ht="15.5" x14ac:dyDescent="0.35">
      <c r="A342" s="16"/>
      <c r="B342" s="12"/>
      <c r="C342" s="12"/>
      <c r="D342" s="12"/>
      <c r="E342" s="12"/>
      <c r="F342" s="12"/>
      <c r="G342" s="12"/>
      <c r="J342" s="37"/>
      <c r="K342" s="37" t="s">
        <v>206</v>
      </c>
      <c r="L342" s="37" t="s">
        <v>207</v>
      </c>
      <c r="M342" s="37" t="s">
        <v>206</v>
      </c>
      <c r="N342" s="37" t="s">
        <v>207</v>
      </c>
      <c r="O342" s="37" t="s">
        <v>206</v>
      </c>
      <c r="P342" s="37" t="s">
        <v>207</v>
      </c>
      <c r="Q342" s="37" t="s">
        <v>206</v>
      </c>
      <c r="R342" s="37" t="s">
        <v>207</v>
      </c>
      <c r="S342" s="12"/>
      <c r="T342" s="12"/>
      <c r="U342" s="24"/>
    </row>
    <row r="343" spans="1:21" ht="15.5" x14ac:dyDescent="0.35">
      <c r="A343" s="16"/>
      <c r="B343" s="12"/>
      <c r="C343" s="12"/>
      <c r="D343" s="12"/>
      <c r="E343" s="12"/>
      <c r="F343" s="12"/>
      <c r="G343" s="12"/>
      <c r="J343" s="29" t="s">
        <v>67</v>
      </c>
      <c r="K343" s="12" t="s">
        <v>208</v>
      </c>
      <c r="L343" s="36">
        <f>C364/1000</f>
        <v>0.69299999999999995</v>
      </c>
      <c r="M343" s="12" t="s">
        <v>208</v>
      </c>
      <c r="N343" s="36">
        <f>C365/1000</f>
        <v>0.79200000000000004</v>
      </c>
      <c r="O343" s="12" t="s">
        <v>208</v>
      </c>
      <c r="P343" s="36">
        <f>C366/1000</f>
        <v>0.89100000000000001</v>
      </c>
      <c r="Q343" s="12" t="s">
        <v>208</v>
      </c>
      <c r="R343" s="36">
        <f>C367/1000</f>
        <v>0.99</v>
      </c>
      <c r="S343" s="12"/>
      <c r="T343" s="12"/>
      <c r="U343" s="24"/>
    </row>
    <row r="344" spans="1:21" ht="15.5" x14ac:dyDescent="0.35">
      <c r="A344" s="16"/>
      <c r="B344" s="12"/>
      <c r="C344" s="12"/>
      <c r="D344" s="12"/>
      <c r="E344" s="12"/>
      <c r="F344" s="12"/>
      <c r="G344" s="12"/>
      <c r="J344" s="29" t="s">
        <v>67</v>
      </c>
      <c r="K344" s="12" t="s">
        <v>209</v>
      </c>
      <c r="L344" s="35">
        <f>1-L343</f>
        <v>0.30700000000000005</v>
      </c>
      <c r="M344" s="12" t="s">
        <v>209</v>
      </c>
      <c r="N344" s="35">
        <f>1-N343</f>
        <v>0.20799999999999996</v>
      </c>
      <c r="O344" s="12" t="s">
        <v>209</v>
      </c>
      <c r="P344" s="35">
        <f>1-P343</f>
        <v>0.10899999999999999</v>
      </c>
      <c r="Q344" s="12" t="s">
        <v>209</v>
      </c>
      <c r="R344" s="35">
        <f>1-R343</f>
        <v>1.0000000000000009E-2</v>
      </c>
      <c r="S344" s="12"/>
      <c r="T344" s="12"/>
      <c r="U344" s="24"/>
    </row>
    <row r="345" spans="1:21" ht="15.5" x14ac:dyDescent="0.35">
      <c r="A345" s="16"/>
      <c r="B345" s="12"/>
      <c r="C345" s="12"/>
      <c r="D345" s="12"/>
      <c r="E345" s="12"/>
      <c r="F345" s="12"/>
      <c r="G345" s="12"/>
      <c r="J345" s="29" t="s">
        <v>68</v>
      </c>
      <c r="K345" s="12" t="s">
        <v>209</v>
      </c>
      <c r="L345" s="35">
        <f>(D364-1001)/499</f>
        <v>0.30861723446893785</v>
      </c>
      <c r="M345" s="12" t="s">
        <v>209</v>
      </c>
      <c r="N345" s="35">
        <f>(D365-1001)/499</f>
        <v>0.63927855711422843</v>
      </c>
      <c r="O345" s="12" t="s">
        <v>209</v>
      </c>
      <c r="P345" s="35">
        <f>(D366-1001)/499</f>
        <v>0.96993987975951901</v>
      </c>
      <c r="Q345" s="12" t="s">
        <v>209</v>
      </c>
      <c r="R345" s="35">
        <v>1</v>
      </c>
      <c r="S345" s="12"/>
      <c r="T345" s="12"/>
      <c r="U345" s="24"/>
    </row>
    <row r="346" spans="1:21" ht="15.5" x14ac:dyDescent="0.35">
      <c r="A346" s="16"/>
      <c r="B346" s="12"/>
      <c r="C346" s="12"/>
      <c r="D346" s="12"/>
      <c r="E346" s="12"/>
      <c r="F346" s="12"/>
      <c r="G346" s="12"/>
      <c r="J346" s="29" t="s">
        <v>68</v>
      </c>
      <c r="K346" s="12" t="s">
        <v>210</v>
      </c>
      <c r="L346" s="35">
        <f>1-L345</f>
        <v>0.69138276553106215</v>
      </c>
      <c r="M346" s="12" t="s">
        <v>210</v>
      </c>
      <c r="N346" s="35">
        <f>1-N345</f>
        <v>0.36072144288577157</v>
      </c>
      <c r="O346" s="12" t="s">
        <v>210</v>
      </c>
      <c r="P346" s="35">
        <f>1-P345</f>
        <v>3.0060120240480992E-2</v>
      </c>
      <c r="Q346" s="12" t="s">
        <v>209</v>
      </c>
      <c r="R346" s="35">
        <v>1</v>
      </c>
      <c r="S346" s="12"/>
      <c r="T346" s="12"/>
      <c r="U346" s="24"/>
    </row>
    <row r="347" spans="1:21" ht="15.5" x14ac:dyDescent="0.35">
      <c r="A347" s="16"/>
      <c r="B347" s="12"/>
      <c r="C347" s="12"/>
      <c r="D347" s="12"/>
      <c r="E347" s="12"/>
      <c r="F347" s="12"/>
      <c r="G347" s="12"/>
      <c r="J347" s="29" t="s">
        <v>69</v>
      </c>
      <c r="K347" s="12" t="s">
        <v>210</v>
      </c>
      <c r="L347" s="35">
        <f>(E364-1501)/499</f>
        <v>0.69539078156312628</v>
      </c>
      <c r="M347" s="38" t="s">
        <v>210</v>
      </c>
      <c r="N347" s="36">
        <v>1</v>
      </c>
      <c r="O347" s="12" t="s">
        <v>210</v>
      </c>
      <c r="P347" s="35">
        <v>1</v>
      </c>
      <c r="Q347" s="12" t="s">
        <v>209</v>
      </c>
      <c r="R347" s="35">
        <f>(D367-1501)/499</f>
        <v>0.29859719438877758</v>
      </c>
      <c r="S347" s="12"/>
      <c r="T347" s="12"/>
      <c r="U347" s="24"/>
    </row>
    <row r="348" spans="1:21" ht="15.5" x14ac:dyDescent="0.35">
      <c r="A348" s="16"/>
      <c r="B348" s="12"/>
      <c r="C348" s="12"/>
      <c r="D348" s="12"/>
      <c r="E348" s="12"/>
      <c r="F348" s="12"/>
      <c r="G348" s="12"/>
      <c r="J348" s="29" t="s">
        <v>69</v>
      </c>
      <c r="K348" s="12" t="s">
        <v>211</v>
      </c>
      <c r="L348" s="35">
        <f>1-L347</f>
        <v>0.30460921843687372</v>
      </c>
      <c r="M348" s="38" t="s">
        <v>210</v>
      </c>
      <c r="N348" s="35">
        <v>1</v>
      </c>
      <c r="O348" s="12" t="s">
        <v>210</v>
      </c>
      <c r="P348" s="35">
        <v>1</v>
      </c>
      <c r="Q348" s="12" t="s">
        <v>210</v>
      </c>
      <c r="R348" s="35">
        <f>1-R347</f>
        <v>0.70140280561122248</v>
      </c>
      <c r="S348" s="12"/>
      <c r="T348" s="12"/>
      <c r="U348" s="24"/>
    </row>
    <row r="349" spans="1:21" ht="15" customHeight="1" x14ac:dyDescent="0.35">
      <c r="A349" s="16"/>
      <c r="B349" s="12"/>
      <c r="C349" s="12"/>
      <c r="D349" s="12"/>
      <c r="E349" s="12"/>
      <c r="F349" s="12"/>
      <c r="G349" s="12"/>
      <c r="J349" s="29" t="s">
        <v>70</v>
      </c>
      <c r="K349" s="12" t="s">
        <v>211</v>
      </c>
      <c r="L349" s="36">
        <v>1</v>
      </c>
      <c r="M349" s="38" t="s">
        <v>210</v>
      </c>
      <c r="N349" s="35">
        <f>(E365-2001)/499</f>
        <v>0.22244488977955912</v>
      </c>
      <c r="O349" s="36" t="s">
        <v>210</v>
      </c>
      <c r="P349" s="35">
        <f>(E366-2001)/499</f>
        <v>0.75150300601202402</v>
      </c>
      <c r="Q349" s="12" t="s">
        <v>210</v>
      </c>
      <c r="R349" s="35">
        <v>1</v>
      </c>
      <c r="S349" s="12"/>
      <c r="T349" s="12"/>
      <c r="U349" s="24"/>
    </row>
    <row r="350" spans="1:21" ht="15" customHeight="1" x14ac:dyDescent="0.35">
      <c r="A350" s="16"/>
      <c r="B350" s="12"/>
      <c r="C350" s="12"/>
      <c r="D350" s="12"/>
      <c r="E350" s="12"/>
      <c r="F350" s="12"/>
      <c r="G350" s="12"/>
      <c r="J350" s="29" t="s">
        <v>70</v>
      </c>
      <c r="K350" s="12" t="s">
        <v>211</v>
      </c>
      <c r="L350" s="36">
        <v>1</v>
      </c>
      <c r="M350" s="38" t="s">
        <v>211</v>
      </c>
      <c r="N350" s="35">
        <f>1-N349</f>
        <v>0.77755511022044088</v>
      </c>
      <c r="O350" s="36" t="s">
        <v>211</v>
      </c>
      <c r="P350" s="35">
        <f>1-P349</f>
        <v>0.24849699398797598</v>
      </c>
      <c r="Q350" s="12" t="s">
        <v>210</v>
      </c>
      <c r="R350" s="35">
        <v>1</v>
      </c>
      <c r="S350" s="12"/>
      <c r="T350" s="12"/>
      <c r="U350" s="24"/>
    </row>
    <row r="351" spans="1:21" ht="15" customHeight="1" x14ac:dyDescent="0.35">
      <c r="A351" s="16"/>
      <c r="B351" s="12"/>
      <c r="C351" s="12"/>
      <c r="D351" s="12"/>
      <c r="E351" s="12"/>
      <c r="F351" s="12"/>
      <c r="G351" s="12"/>
      <c r="J351" s="29" t="s">
        <v>71</v>
      </c>
      <c r="K351" s="12" t="s">
        <v>211</v>
      </c>
      <c r="L351" s="35">
        <f>(F364-2501)/499</f>
        <v>0.54308617234468937</v>
      </c>
      <c r="M351" s="38" t="s">
        <v>211</v>
      </c>
      <c r="N351" s="35">
        <v>1</v>
      </c>
      <c r="O351" s="12" t="s">
        <v>211</v>
      </c>
      <c r="P351" s="35">
        <v>1</v>
      </c>
      <c r="Q351" s="12" t="s">
        <v>210</v>
      </c>
      <c r="R351" s="35">
        <f>(E367-2501)/499</f>
        <v>0.27855711422845691</v>
      </c>
      <c r="S351" s="12"/>
      <c r="T351" s="12"/>
      <c r="U351" s="24"/>
    </row>
    <row r="352" spans="1:21" ht="15.5" x14ac:dyDescent="0.35">
      <c r="A352" s="16"/>
      <c r="B352" s="12"/>
      <c r="C352" s="12"/>
      <c r="D352" s="12"/>
      <c r="E352" s="12"/>
      <c r="F352" s="12"/>
      <c r="G352" s="12"/>
      <c r="J352" s="29" t="s">
        <v>71</v>
      </c>
      <c r="K352" s="12" t="s">
        <v>213</v>
      </c>
      <c r="L352" s="35">
        <f>1-L351</f>
        <v>0.45691382765531063</v>
      </c>
      <c r="M352" s="38" t="s">
        <v>211</v>
      </c>
      <c r="N352" s="35">
        <v>1</v>
      </c>
      <c r="O352" s="12" t="s">
        <v>211</v>
      </c>
      <c r="P352" s="35">
        <v>1</v>
      </c>
      <c r="Q352" s="12" t="s">
        <v>211</v>
      </c>
      <c r="R352" s="35">
        <f>1-R351</f>
        <v>0.72144288577154314</v>
      </c>
      <c r="S352" s="12"/>
      <c r="T352" s="12"/>
      <c r="U352" s="24"/>
    </row>
    <row r="353" spans="1:21" ht="15.5" x14ac:dyDescent="0.35">
      <c r="A353" s="16"/>
      <c r="B353" s="12"/>
      <c r="C353" s="12"/>
      <c r="D353" s="12"/>
      <c r="E353" s="12"/>
      <c r="F353" s="12"/>
      <c r="G353" s="12"/>
      <c r="J353" s="29" t="s">
        <v>72</v>
      </c>
      <c r="K353" s="12" t="s">
        <v>213</v>
      </c>
      <c r="L353" s="36">
        <v>1</v>
      </c>
      <c r="M353" s="38" t="s">
        <v>211</v>
      </c>
      <c r="N353" s="35">
        <f>(F365-3001)/499</f>
        <v>0.33466933867735471</v>
      </c>
      <c r="O353" s="36" t="s">
        <v>211</v>
      </c>
      <c r="P353" s="35">
        <v>1</v>
      </c>
      <c r="Q353" s="12" t="s">
        <v>211</v>
      </c>
      <c r="R353" s="35">
        <v>1</v>
      </c>
      <c r="S353" s="12"/>
      <c r="T353" s="12"/>
      <c r="U353" s="24"/>
    </row>
    <row r="354" spans="1:21" ht="15.5" x14ac:dyDescent="0.35">
      <c r="A354" s="22" t="s">
        <v>212</v>
      </c>
      <c r="B354" s="23">
        <f>'2025 Affordability Calcluations'!B10</f>
        <v>132000</v>
      </c>
      <c r="C354" s="12"/>
      <c r="D354" s="12"/>
      <c r="E354" s="12"/>
      <c r="F354" s="12"/>
      <c r="G354" s="12"/>
      <c r="J354" s="29" t="s">
        <v>72</v>
      </c>
      <c r="K354" s="12" t="s">
        <v>213</v>
      </c>
      <c r="L354" s="36">
        <v>1</v>
      </c>
      <c r="M354" s="12" t="s">
        <v>213</v>
      </c>
      <c r="N354" s="35">
        <f>1-N353</f>
        <v>0.66533066132264529</v>
      </c>
      <c r="O354" s="35" t="s">
        <v>211</v>
      </c>
      <c r="P354" s="35">
        <v>1</v>
      </c>
      <c r="Q354" s="12" t="s">
        <v>211</v>
      </c>
      <c r="R354" s="35">
        <v>1</v>
      </c>
      <c r="S354" s="12"/>
      <c r="T354" s="12"/>
      <c r="U354" s="24"/>
    </row>
    <row r="355" spans="1:21" ht="15.5" x14ac:dyDescent="0.35">
      <c r="A355" s="25" t="s">
        <v>214</v>
      </c>
      <c r="B355" s="12"/>
      <c r="C355" s="12"/>
      <c r="D355" s="12"/>
      <c r="E355" s="12"/>
      <c r="F355" s="12"/>
      <c r="G355" s="12"/>
      <c r="J355" s="29" t="s">
        <v>73</v>
      </c>
      <c r="K355" s="12" t="s">
        <v>213</v>
      </c>
      <c r="L355" s="36">
        <v>1</v>
      </c>
      <c r="M355" s="12" t="s">
        <v>213</v>
      </c>
      <c r="N355" s="36">
        <v>1</v>
      </c>
      <c r="O355" s="12" t="s">
        <v>211</v>
      </c>
      <c r="P355" s="35">
        <f>(F366-3501)/499</f>
        <v>0.12625250501002003</v>
      </c>
      <c r="Q355" s="12" t="s">
        <v>211</v>
      </c>
      <c r="R355" s="35">
        <f>(F367-3501)/499</f>
        <v>0.91983967935871747</v>
      </c>
      <c r="S355" s="12"/>
      <c r="T355" s="12"/>
      <c r="U355" s="24"/>
    </row>
    <row r="356" spans="1:21" ht="15.5" x14ac:dyDescent="0.35">
      <c r="A356" s="16"/>
      <c r="B356" s="12" t="s">
        <v>215</v>
      </c>
      <c r="C356" s="12" t="s">
        <v>208</v>
      </c>
      <c r="D356" s="12" t="s">
        <v>209</v>
      </c>
      <c r="E356" s="12" t="s">
        <v>210</v>
      </c>
      <c r="F356" s="12" t="s">
        <v>211</v>
      </c>
      <c r="G356" s="12"/>
      <c r="J356" s="29" t="s">
        <v>73</v>
      </c>
      <c r="K356" s="12" t="s">
        <v>213</v>
      </c>
      <c r="L356" s="36">
        <v>1</v>
      </c>
      <c r="M356" s="12" t="s">
        <v>213</v>
      </c>
      <c r="N356" s="36">
        <v>1</v>
      </c>
      <c r="O356" s="12" t="s">
        <v>213</v>
      </c>
      <c r="P356" s="35">
        <f>1-P355</f>
        <v>0.87374749498997994</v>
      </c>
      <c r="Q356" s="12" t="s">
        <v>213</v>
      </c>
      <c r="R356" s="35">
        <f>1-R355</f>
        <v>8.0160320641282534E-2</v>
      </c>
      <c r="S356" s="12"/>
      <c r="T356" s="12"/>
      <c r="U356" s="24"/>
    </row>
    <row r="357" spans="1:21" ht="15.5" x14ac:dyDescent="0.35">
      <c r="A357" s="16" t="s">
        <v>42</v>
      </c>
      <c r="B357" s="29">
        <f>B354*0.7</f>
        <v>92400</v>
      </c>
      <c r="C357" s="29">
        <f>B357*0.3</f>
        <v>27720</v>
      </c>
      <c r="D357" s="29">
        <f>B357*0.5</f>
        <v>46200</v>
      </c>
      <c r="E357" s="29">
        <f>B357*0.8</f>
        <v>73920</v>
      </c>
      <c r="F357" s="29">
        <f>B357*1.2</f>
        <v>110880</v>
      </c>
      <c r="G357" s="12"/>
      <c r="J357" s="29" t="s">
        <v>74</v>
      </c>
      <c r="K357" s="12" t="s">
        <v>213</v>
      </c>
      <c r="L357" s="36">
        <v>1</v>
      </c>
      <c r="M357" s="12" t="s">
        <v>213</v>
      </c>
      <c r="N357" s="36">
        <v>1</v>
      </c>
      <c r="O357" s="12" t="s">
        <v>213</v>
      </c>
      <c r="P357" s="36">
        <v>1</v>
      </c>
      <c r="Q357" s="12" t="s">
        <v>213</v>
      </c>
      <c r="R357" s="35">
        <v>1</v>
      </c>
      <c r="S357" s="12"/>
      <c r="T357" s="12"/>
      <c r="U357" s="24"/>
    </row>
    <row r="358" spans="1:21" ht="15.5" x14ac:dyDescent="0.35">
      <c r="A358" s="16" t="s">
        <v>216</v>
      </c>
      <c r="B358" s="29">
        <f>B354*0.8</f>
        <v>105600</v>
      </c>
      <c r="C358" s="29">
        <f t="shared" ref="C358:C360" si="94">B358*0.3</f>
        <v>31680</v>
      </c>
      <c r="D358" s="29">
        <f t="shared" ref="D358:D360" si="95">B358*0.5</f>
        <v>52800</v>
      </c>
      <c r="E358" s="29">
        <f t="shared" ref="E358:E360" si="96">B358*0.8</f>
        <v>84480</v>
      </c>
      <c r="F358" s="29">
        <f t="shared" ref="F358:F360" si="97">B358*1.2</f>
        <v>126720</v>
      </c>
      <c r="G358" s="12"/>
      <c r="J358" s="29" t="s">
        <v>74</v>
      </c>
      <c r="K358" s="12" t="s">
        <v>213</v>
      </c>
      <c r="L358" s="36">
        <v>1</v>
      </c>
      <c r="M358" s="12" t="s">
        <v>213</v>
      </c>
      <c r="N358" s="36">
        <v>1</v>
      </c>
      <c r="O358" s="12" t="s">
        <v>213</v>
      </c>
      <c r="P358" s="36">
        <v>1</v>
      </c>
      <c r="Q358" s="12" t="s">
        <v>213</v>
      </c>
      <c r="R358" s="35">
        <v>1</v>
      </c>
      <c r="S358" s="12"/>
      <c r="T358" s="12"/>
      <c r="U358" s="24"/>
    </row>
    <row r="359" spans="1:21" ht="15.5" x14ac:dyDescent="0.35">
      <c r="A359" s="16" t="s">
        <v>217</v>
      </c>
      <c r="B359" s="29">
        <f>B354*0.9</f>
        <v>118800</v>
      </c>
      <c r="C359" s="29">
        <f t="shared" si="94"/>
        <v>35640</v>
      </c>
      <c r="D359" s="29">
        <f t="shared" si="95"/>
        <v>59400</v>
      </c>
      <c r="E359" s="29">
        <f t="shared" si="96"/>
        <v>95040</v>
      </c>
      <c r="F359" s="29">
        <f t="shared" si="97"/>
        <v>142560</v>
      </c>
      <c r="G359" s="12"/>
      <c r="J359" s="29" t="s">
        <v>75</v>
      </c>
      <c r="K359" s="12" t="s">
        <v>213</v>
      </c>
      <c r="L359" s="36">
        <v>1</v>
      </c>
      <c r="M359" s="12" t="s">
        <v>213</v>
      </c>
      <c r="N359" s="36">
        <v>1</v>
      </c>
      <c r="O359" s="12" t="s">
        <v>213</v>
      </c>
      <c r="P359" s="36">
        <v>1</v>
      </c>
      <c r="Q359" s="12" t="s">
        <v>213</v>
      </c>
      <c r="R359" s="35">
        <v>1</v>
      </c>
      <c r="S359" s="12"/>
      <c r="T359" s="12"/>
      <c r="U359" s="24"/>
    </row>
    <row r="360" spans="1:21" ht="15.5" x14ac:dyDescent="0.35">
      <c r="A360" s="16" t="s">
        <v>218</v>
      </c>
      <c r="B360" s="29">
        <f>B354</f>
        <v>132000</v>
      </c>
      <c r="C360" s="29">
        <f t="shared" si="94"/>
        <v>39600</v>
      </c>
      <c r="D360" s="29">
        <f t="shared" si="95"/>
        <v>66000</v>
      </c>
      <c r="E360" s="29">
        <f t="shared" si="96"/>
        <v>105600</v>
      </c>
      <c r="F360" s="29">
        <f t="shared" si="97"/>
        <v>158400</v>
      </c>
      <c r="G360" s="12"/>
      <c r="H360" s="12"/>
      <c r="I360" s="12"/>
      <c r="J360" s="12"/>
      <c r="K360" s="12"/>
      <c r="L360" s="12"/>
      <c r="M360" s="12"/>
      <c r="N360" s="12"/>
      <c r="O360" s="12"/>
      <c r="P360" s="12"/>
      <c r="Q360" s="12"/>
      <c r="R360" s="12"/>
      <c r="S360" s="12"/>
      <c r="T360" s="12"/>
      <c r="U360" s="24"/>
    </row>
    <row r="361" spans="1:21" ht="15.75" customHeight="1" x14ac:dyDescent="0.35">
      <c r="A361" s="16"/>
      <c r="B361" s="29"/>
      <c r="C361" s="29"/>
      <c r="D361" s="29"/>
      <c r="E361" s="29"/>
      <c r="F361" s="29"/>
      <c r="G361" s="12"/>
      <c r="H361" s="52" t="s">
        <v>233</v>
      </c>
      <c r="I361" s="51"/>
      <c r="J361" s="51"/>
      <c r="K361" s="51"/>
      <c r="L361" s="51"/>
      <c r="M361" s="51"/>
      <c r="N361" s="51"/>
      <c r="O361" s="51"/>
      <c r="P361" s="51"/>
      <c r="Q361" s="51"/>
      <c r="R361" s="12"/>
      <c r="S361" s="12"/>
      <c r="T361" s="12"/>
      <c r="U361" s="24"/>
    </row>
    <row r="362" spans="1:21" ht="15.5" x14ac:dyDescent="0.35">
      <c r="A362" s="25" t="s">
        <v>220</v>
      </c>
      <c r="B362" s="12"/>
      <c r="C362" s="12"/>
      <c r="D362" s="12"/>
      <c r="E362" s="12"/>
      <c r="F362" s="12"/>
      <c r="G362" s="12"/>
      <c r="H362" s="51"/>
      <c r="I362" s="51"/>
      <c r="J362" s="51"/>
      <c r="K362" s="51"/>
      <c r="L362" s="51"/>
      <c r="M362" s="51"/>
      <c r="N362" s="51"/>
      <c r="O362" s="51"/>
      <c r="P362" s="51"/>
      <c r="Q362" s="51"/>
      <c r="R362" s="12"/>
      <c r="S362" s="12"/>
      <c r="T362" s="12"/>
      <c r="U362" s="24"/>
    </row>
    <row r="363" spans="1:21" ht="15.5" x14ac:dyDescent="0.35">
      <c r="A363" s="16"/>
      <c r="B363" s="12" t="s">
        <v>215</v>
      </c>
      <c r="C363" s="12" t="s">
        <v>208</v>
      </c>
      <c r="D363" s="12" t="s">
        <v>209</v>
      </c>
      <c r="E363" s="12" t="s">
        <v>210</v>
      </c>
      <c r="F363" s="12" t="s">
        <v>211</v>
      </c>
      <c r="G363" s="12"/>
      <c r="H363" s="12"/>
      <c r="I363" s="12" t="s">
        <v>76</v>
      </c>
      <c r="J363" s="12" t="s">
        <v>165</v>
      </c>
      <c r="K363" s="12" t="s">
        <v>79</v>
      </c>
      <c r="L363" s="29" t="s">
        <v>67</v>
      </c>
      <c r="M363" s="29" t="s">
        <v>68</v>
      </c>
      <c r="N363" s="29" t="s">
        <v>69</v>
      </c>
      <c r="O363" s="29" t="s">
        <v>70</v>
      </c>
      <c r="P363" s="29" t="s">
        <v>71</v>
      </c>
      <c r="Q363" s="29" t="s">
        <v>72</v>
      </c>
      <c r="R363" s="29" t="s">
        <v>73</v>
      </c>
      <c r="S363" s="29" t="s">
        <v>74</v>
      </c>
      <c r="T363" s="29" t="s">
        <v>75</v>
      </c>
      <c r="U363" s="24"/>
    </row>
    <row r="364" spans="1:21" ht="15.5" x14ac:dyDescent="0.35">
      <c r="A364" s="16" t="s">
        <v>42</v>
      </c>
      <c r="B364" s="29">
        <f>B357*0.3/12</f>
        <v>2310</v>
      </c>
      <c r="C364" s="29">
        <f>C357*0.3/12</f>
        <v>693</v>
      </c>
      <c r="D364" s="29">
        <f>D357*0.3/12</f>
        <v>1155</v>
      </c>
      <c r="E364" s="29">
        <f>E357*0.3/12</f>
        <v>1848</v>
      </c>
      <c r="F364" s="29">
        <f>F357*0.3/12</f>
        <v>2772</v>
      </c>
      <c r="G364" s="12"/>
      <c r="H364" s="12" t="s">
        <v>42</v>
      </c>
      <c r="I364" s="12">
        <f>COUNTIFS('ADU Homeowner Survey 2025'!$AG:$AG,"2025",'ADU Homeowner Survey 2025'!$B:$B,"Sonoma County", 'ADU Homeowner Survey 2025'!$Q:$Q, "0 (studio)",'ADU Homeowner Survey 2025'!$R:$R, "Not planning to use for housing")</f>
        <v>0</v>
      </c>
      <c r="J364" s="12">
        <f>COUNTIFS('ADU Homeowner Survey 2025'!$AG:$AG,"2025",'ADU Homeowner Survey 2025'!$B:$B,"Sonoma County", 'ADU Homeowner Survey 2025'!$Q:$Q, "0 (studio)",'ADU Homeowner Survey 2025'!$R:$R, "Decline to state")</f>
        <v>0</v>
      </c>
      <c r="K364" s="12">
        <f>COUNTIFS('ADU Homeowner Survey 2025'!$AG:$AG,"2025",'ADU Homeowner Survey 2025'!$B:$B,"Sonoma County", 'ADU Homeowner Survey 2025'!$Q:$Q, "0 (studio)",'ADU Homeowner Survey 2025'!$R:$R, "Not planning to charge rent")</f>
        <v>0</v>
      </c>
      <c r="L364" s="12">
        <f>COUNTIFS('ADU Homeowner Survey 2025'!$AG:$AG,"2025",'ADU Homeowner Survey 2025'!$B:$B,"Sonoma County", 'ADU Homeowner Survey 2025'!$Q:$Q, "0 (studio)",'ADU Homeowner Survey 2025'!$R:$R, "$1 - $1,000")</f>
        <v>0</v>
      </c>
      <c r="M364" s="12">
        <f>COUNTIFS('ADU Homeowner Survey 2025'!$AG:$AG,"2025",'ADU Homeowner Survey 2025'!$B:$B,"Sonoma County", 'ADU Homeowner Survey 2025'!$Q:$Q, "0 (studio)",'ADU Homeowner Survey 2025'!$R:$R, "$1,001 - $1,500")</f>
        <v>0</v>
      </c>
      <c r="N364" s="12">
        <f>COUNTIFS('ADU Homeowner Survey 2025'!$AG:$AG,"2025",'ADU Homeowner Survey 2025'!$B:$B,"Sonoma County", 'ADU Homeowner Survey 2025'!$Q:$Q, "0 (studio)",'ADU Homeowner Survey 2025'!$R:$R, "$1,501 - $2,000")</f>
        <v>0</v>
      </c>
      <c r="O364" s="12">
        <f>COUNTIFS('ADU Homeowner Survey 2025'!$AG:$AG,"2025",'ADU Homeowner Survey 2025'!$B:$B,"Sonoma County", 'ADU Homeowner Survey 2025'!$Q:$Q, "0 (studio)",'ADU Homeowner Survey 2025'!$R:$R, "$2,001 - $2,500")</f>
        <v>0</v>
      </c>
      <c r="P364" s="12">
        <f>COUNTIFS('ADU Homeowner Survey 2025'!$AG:$AG,"2025",'ADU Homeowner Survey 2025'!$B:$B,"Sonoma County", 'ADU Homeowner Survey 2025'!$Q:$Q, "0 (studio)",'ADU Homeowner Survey 2025'!$R:$R, "$2,501 - $3,000")</f>
        <v>0</v>
      </c>
      <c r="Q364" s="12">
        <f>COUNTIFS('ADU Homeowner Survey 2025'!$AG:$AG,"2025",'ADU Homeowner Survey 2025'!$B:$B,"Sonoma County", 'ADU Homeowner Survey 2025'!$Q:$Q, "0 (studio)",'ADU Homeowner Survey 2025'!$R:$R, "$3,001 - $3,500")</f>
        <v>0</v>
      </c>
      <c r="R364" s="12">
        <f>COUNTIFS('ADU Homeowner Survey 2025'!$AG:$AG,"2025",'ADU Homeowner Survey 2025'!$B:$B,"Sonoma County", 'ADU Homeowner Survey 2025'!$Q:$Q, "0 (studio)",'ADU Homeowner Survey 2025'!$R:$R, "$3,501 - $4,000")</f>
        <v>0</v>
      </c>
      <c r="S364" s="12">
        <f>COUNTIFS('ADU Homeowner Survey 2025'!$AG:$AG,"2025",'ADU Homeowner Survey 2025'!$B:$B,"Sonoma County", 'ADU Homeowner Survey 2025'!$Q:$Q, "0 (studio)",'ADU Homeowner Survey 2025'!$R:$R, "$4,001 - $4,500")</f>
        <v>0</v>
      </c>
      <c r="T364" s="12">
        <f>COUNTIFS('ADU Homeowner Survey 2025'!$AG:$AG,"2025",'ADU Homeowner Survey 2025'!$B:$B,"Sonoma County", 'ADU Homeowner Survey 2025'!$Q:$Q, "0 (studio)",'ADU Homeowner Survey 2025'!$R:$R, "More than $4,500")</f>
        <v>0</v>
      </c>
      <c r="U364" s="24">
        <f>SUM(I364:T364)</f>
        <v>0</v>
      </c>
    </row>
    <row r="365" spans="1:21" ht="15.5" x14ac:dyDescent="0.35">
      <c r="A365" s="16" t="s">
        <v>216</v>
      </c>
      <c r="B365" s="29">
        <f t="shared" ref="B365:F365" si="98">B358*0.3/12</f>
        <v>2640</v>
      </c>
      <c r="C365" s="29">
        <f t="shared" si="98"/>
        <v>792</v>
      </c>
      <c r="D365" s="29">
        <f t="shared" si="98"/>
        <v>1320</v>
      </c>
      <c r="E365" s="29">
        <f t="shared" si="98"/>
        <v>2112</v>
      </c>
      <c r="F365" s="29">
        <f t="shared" si="98"/>
        <v>3168</v>
      </c>
      <c r="G365" s="12"/>
      <c r="H365" s="12" t="s">
        <v>216</v>
      </c>
      <c r="I365" s="12">
        <f>COUNTIFS('ADU Homeowner Survey 2025'!$AG:$AG,"2025",'ADU Homeowner Survey 2025'!$B:$B,"Sonoma County", 'ADU Homeowner Survey 2025'!$Q:$Q, "1",'ADU Homeowner Survey 2025'!$R:$R, "Not planning to use for housing")</f>
        <v>0</v>
      </c>
      <c r="J365" s="12">
        <f>COUNTIFS('ADU Homeowner Survey 2025'!$AG:$AG,"2025",'ADU Homeowner Survey 2025'!$B:$B,"Sonoma County", 'ADU Homeowner Survey 2025'!$Q:$Q, "1",'ADU Homeowner Survey 2025'!$R:$R, "Decline to state")</f>
        <v>1</v>
      </c>
      <c r="K365" s="12">
        <f>COUNTIFS('ADU Homeowner Survey 2025'!$AG:$AG,"2025",'ADU Homeowner Survey 2025'!$B:$B,"Sonoma County", 'ADU Homeowner Survey 2025'!$Q:$Q, "1",'ADU Homeowner Survey 2025'!$R:$R, "Not planning to charge rent")</f>
        <v>8</v>
      </c>
      <c r="L365" s="12">
        <f>COUNTIFS('ADU Homeowner Survey 2025'!$AG:$AG,"2025",'ADU Homeowner Survey 2025'!$B:$B,"Sonoma County", 'ADU Homeowner Survey 2025'!$Q:$Q, "1",'ADU Homeowner Survey 2025'!$R:$R, "$1 - $1,000")</f>
        <v>0</v>
      </c>
      <c r="M365" s="12">
        <f>COUNTIFS('ADU Homeowner Survey 2025'!$AG:$AG,"2025",'ADU Homeowner Survey 2025'!$B:$B,"Sonoma County", 'ADU Homeowner Survey 2025'!$Q:$Q, "1",'ADU Homeowner Survey 2025'!$R:$R, "$1,001 - $1,500")</f>
        <v>1</v>
      </c>
      <c r="N365" s="12">
        <f>COUNTIFS('ADU Homeowner Survey 2025'!$AG:$AG,"2025",'ADU Homeowner Survey 2025'!$B:$B,"Sonoma County", 'ADU Homeowner Survey 2025'!$Q:$Q, "1",'ADU Homeowner Survey 2025'!$R:$R, "$1,501 - $2,000")</f>
        <v>2</v>
      </c>
      <c r="O365" s="12">
        <f>COUNTIFS('ADU Homeowner Survey 2025'!$AG:$AG,"2025",'ADU Homeowner Survey 2025'!$B:$B,"Sonoma County", 'ADU Homeowner Survey 2025'!$Q:$Q, "1",'ADU Homeowner Survey 2025'!$R:$R, "$2,001 - $2,500")</f>
        <v>4</v>
      </c>
      <c r="P365" s="12">
        <f>COUNTIFS('ADU Homeowner Survey 2025'!$AG:$AG,"2025",'ADU Homeowner Survey 2025'!$B:$B,"Sonoma County", 'ADU Homeowner Survey 2025'!$Q:$Q, "1",'ADU Homeowner Survey 2025'!$R:$R, "$2,501 - $3,000")</f>
        <v>5</v>
      </c>
      <c r="Q365" s="12">
        <f>COUNTIFS('ADU Homeowner Survey 2025'!$AG:$AG,"2025",'ADU Homeowner Survey 2025'!$B:$B,"Sonoma County", 'ADU Homeowner Survey 2025'!$Q:$Q, "1",'ADU Homeowner Survey 2025'!$R:$R, "$3,001 - $3,500")</f>
        <v>1</v>
      </c>
      <c r="R365" s="12">
        <f>COUNTIFS('ADU Homeowner Survey 2025'!$AG:$AG,"2025",'ADU Homeowner Survey 2025'!$B:$B,"Sonoma County", 'ADU Homeowner Survey 2025'!$Q:$Q, "1",'ADU Homeowner Survey 2025'!$R:$R, "$3,501 - $4,000")</f>
        <v>0</v>
      </c>
      <c r="S365" s="12">
        <f>COUNTIFS('ADU Homeowner Survey 2025'!$AG:$AG,"2025",'ADU Homeowner Survey 2025'!$B:$B,"Sonoma County", 'ADU Homeowner Survey 2025'!$Q:$Q, "1",'ADU Homeowner Survey 2025'!$R:$R, "$4,001 - $4,500")</f>
        <v>0</v>
      </c>
      <c r="T365" s="12">
        <f>COUNTIFS('ADU Homeowner Survey 2025'!$AG:$AG,"2025",'ADU Homeowner Survey 2025'!$B:$B,"Sonoma County", 'ADU Homeowner Survey 2025'!$Q:$Q, "1",'ADU Homeowner Survey 2025'!$R:$R, "More than $4,500")</f>
        <v>0</v>
      </c>
      <c r="U365" s="24">
        <f t="shared" ref="U365:U368" si="99">SUM(I365:T365)</f>
        <v>22</v>
      </c>
    </row>
    <row r="366" spans="1:21" ht="15.5" x14ac:dyDescent="0.35">
      <c r="A366" s="16" t="s">
        <v>217</v>
      </c>
      <c r="B366" s="29">
        <f t="shared" ref="B366:F366" si="100">B359*0.3/12</f>
        <v>2970</v>
      </c>
      <c r="C366" s="29">
        <f t="shared" si="100"/>
        <v>891</v>
      </c>
      <c r="D366" s="29">
        <f t="shared" si="100"/>
        <v>1485</v>
      </c>
      <c r="E366" s="29">
        <f t="shared" si="100"/>
        <v>2376</v>
      </c>
      <c r="F366" s="29">
        <f t="shared" si="100"/>
        <v>3564</v>
      </c>
      <c r="G366" s="12"/>
      <c r="H366" s="12" t="s">
        <v>217</v>
      </c>
      <c r="I366" s="12">
        <f>COUNTIFS('ADU Homeowner Survey 2025'!$AG:$AG,"2025",'ADU Homeowner Survey 2025'!$B:$B,"Sonoma County", 'ADU Homeowner Survey 2025'!$Q:$Q, "2",'ADU Homeowner Survey 2025'!$R:$R, "Not planning to use for housing")</f>
        <v>0</v>
      </c>
      <c r="J366" s="12">
        <f>COUNTIFS('ADU Homeowner Survey 2025'!$AG:$AG,"2025",'ADU Homeowner Survey 2025'!$B:$B,"Sonoma County", 'ADU Homeowner Survey 2025'!$Q:$Q, "2",'ADU Homeowner Survey 2025'!$R:$R, "Decline to state")</f>
        <v>1</v>
      </c>
      <c r="K366" s="12">
        <f>COUNTIFS('ADU Homeowner Survey 2025'!$AG:$AG,"2025",'ADU Homeowner Survey 2025'!$B:$B,"Sonoma County", 'ADU Homeowner Survey 2025'!$Q:$Q, "2",'ADU Homeowner Survey 2025'!$R:$R, "Not planning to charge rent")</f>
        <v>0</v>
      </c>
      <c r="L366" s="12">
        <f>COUNTIFS('ADU Homeowner Survey 2025'!$AG:$AG,"2025",'ADU Homeowner Survey 2025'!$B:$B,"Sonoma County", 'ADU Homeowner Survey 2025'!$Q:$Q, "2",'ADU Homeowner Survey 2025'!$R:$R, "$1 - $1,000")</f>
        <v>2</v>
      </c>
      <c r="M366" s="12">
        <f>COUNTIFS('ADU Homeowner Survey 2025'!$AG:$AG,"2025",'ADU Homeowner Survey 2025'!$B:$B,"Sonoma County", 'ADU Homeowner Survey 2025'!$Q:$Q, "2",'ADU Homeowner Survey 2025'!$R:$R, "$1,001 - $1,500")</f>
        <v>1</v>
      </c>
      <c r="N366" s="12">
        <f>COUNTIFS('ADU Homeowner Survey 2025'!$AG:$AG,"2025",'ADU Homeowner Survey 2025'!$B:$B,"Sonoma County", 'ADU Homeowner Survey 2025'!$Q:$Q, "2",'ADU Homeowner Survey 2025'!$R:$R, "$1,501 - $2,000")</f>
        <v>0</v>
      </c>
      <c r="O366" s="12">
        <f>COUNTIFS('ADU Homeowner Survey 2025'!$AG:$AG,"2025",'ADU Homeowner Survey 2025'!$B:$B,"Sonoma County", 'ADU Homeowner Survey 2025'!$Q:$Q, "2",'ADU Homeowner Survey 2025'!$R:$R, "$2,001 - $2,500")</f>
        <v>3</v>
      </c>
      <c r="P366" s="12">
        <f>COUNTIFS('ADU Homeowner Survey 2025'!$AG:$AG,"2025",'ADU Homeowner Survey 2025'!$B:$B,"Sonoma County", 'ADU Homeowner Survey 2025'!$Q:$Q, "2",'ADU Homeowner Survey 2025'!$R:$R, "$2,501 - $3,000")</f>
        <v>0</v>
      </c>
      <c r="Q366" s="12">
        <f>COUNTIFS('ADU Homeowner Survey 2025'!$AG:$AG,"2025",'ADU Homeowner Survey 2025'!$B:$B,"Sonoma County", 'ADU Homeowner Survey 2025'!$Q:$Q, "2",'ADU Homeowner Survey 2025'!$R:$R, "$3,001 - $3,500")</f>
        <v>0</v>
      </c>
      <c r="R366" s="12">
        <f>COUNTIFS('ADU Homeowner Survey 2025'!$AG:$AG,"2025",'ADU Homeowner Survey 2025'!$B:$B,"Sonoma County", 'ADU Homeowner Survey 2025'!$Q:$Q, "2",'ADU Homeowner Survey 2025'!$R:$R, "$3,501 - $4,000")</f>
        <v>0</v>
      </c>
      <c r="S366" s="12">
        <f>COUNTIFS('ADU Homeowner Survey 2025'!$AG:$AG,"2025",'ADU Homeowner Survey 2025'!$B:$B,"Sonoma County", 'ADU Homeowner Survey 2025'!$Q:$Q, "2",'ADU Homeowner Survey 2025'!$R:$R, "$4,001 - $4,500")</f>
        <v>0</v>
      </c>
      <c r="T366" s="12">
        <f>COUNTIFS('ADU Homeowner Survey 2025'!$AG:$AG,"2025",'ADU Homeowner Survey 2025'!$B:$B,"Sonoma County", 'ADU Homeowner Survey 2025'!$Q:$Q, "2",'ADU Homeowner Survey 2025'!$R:$R, "More than $4,500")</f>
        <v>0</v>
      </c>
      <c r="U366" s="24">
        <f t="shared" si="99"/>
        <v>7</v>
      </c>
    </row>
    <row r="367" spans="1:21" ht="15.5" x14ac:dyDescent="0.35">
      <c r="A367" s="16" t="s">
        <v>218</v>
      </c>
      <c r="B367" s="29">
        <f t="shared" ref="B367:F367" si="101">B360*0.3/12</f>
        <v>3300</v>
      </c>
      <c r="C367" s="29">
        <f t="shared" si="101"/>
        <v>990</v>
      </c>
      <c r="D367" s="29">
        <f t="shared" si="101"/>
        <v>1650</v>
      </c>
      <c r="E367" s="29">
        <f t="shared" si="101"/>
        <v>2640</v>
      </c>
      <c r="F367" s="29">
        <f t="shared" si="101"/>
        <v>3960</v>
      </c>
      <c r="G367" s="12"/>
      <c r="H367" s="12" t="s">
        <v>221</v>
      </c>
      <c r="I367" s="12">
        <f>COUNTIFS('ADU Homeowner Survey 2025'!$AG:$AG,"2025",'ADU Homeowner Survey 2025'!$B:$B,"Sonoma County", 'ADU Homeowner Survey 2025'!$Q:$Q, "3 or more",'ADU Homeowner Survey 2025'!$R:$R, "Not planning to use for housing")</f>
        <v>0</v>
      </c>
      <c r="J367" s="12">
        <f>COUNTIFS('ADU Homeowner Survey 2025'!$AG:$AG,"2025",'ADU Homeowner Survey 2025'!$B:$B,"Sonoma County", 'ADU Homeowner Survey 2025'!$Q:$Q, "3 or more",'ADU Homeowner Survey 2025'!$R:$R, "Decline to state")</f>
        <v>0</v>
      </c>
      <c r="K367" s="12">
        <f>COUNTIFS('ADU Homeowner Survey 2025'!$AG:$AG,"2025",'ADU Homeowner Survey 2025'!$B:$B,"Sonoma County", 'ADU Homeowner Survey 2025'!$Q:$Q, "3 or more",'ADU Homeowner Survey 2025'!$R:$R, "Not planning to charge rent")</f>
        <v>0</v>
      </c>
      <c r="L367" s="12">
        <f>COUNTIFS('ADU Homeowner Survey 2025'!$AG:$AG,"2025",'ADU Homeowner Survey 2025'!$B:$B,"Sonoma County", 'ADU Homeowner Survey 2025'!$Q:$Q, "3 or more",'ADU Homeowner Survey 2025'!$R:$R, "$1 - $1,000")</f>
        <v>0</v>
      </c>
      <c r="M367" s="12">
        <f>COUNTIFS('ADU Homeowner Survey 2025'!$AG:$AG,"2025",'ADU Homeowner Survey 2025'!$B:$B,"Sonoma County", 'ADU Homeowner Survey 2025'!$Q:$Q, "3 or more",'ADU Homeowner Survey 2025'!$R:$R, "$1,001 - $1,500")</f>
        <v>0</v>
      </c>
      <c r="N367" s="12">
        <f>COUNTIFS('ADU Homeowner Survey 2025'!$AG:$AG,"2025",'ADU Homeowner Survey 2025'!$B:$B,"Sonoma County", 'ADU Homeowner Survey 2025'!$Q:$Q, "3 or more",'ADU Homeowner Survey 2025'!$R:$R, "$1,501 - $2,000")</f>
        <v>0</v>
      </c>
      <c r="O367" s="12">
        <f>COUNTIFS('ADU Homeowner Survey 2025'!$AG:$AG,"2025",'ADU Homeowner Survey 2025'!$B:$B,"Sonoma County", 'ADU Homeowner Survey 2025'!$Q:$Q, "3 or more",'ADU Homeowner Survey 2025'!$R:$R, "$2,001 - $2,500")</f>
        <v>1</v>
      </c>
      <c r="P367" s="12">
        <f>COUNTIFS('ADU Homeowner Survey 2025'!$AG:$AG,"2025",'ADU Homeowner Survey 2025'!$B:$B,"Sonoma County", 'ADU Homeowner Survey 2025'!$Q:$Q, "3 or more",'ADU Homeowner Survey 2025'!$R:$R, "$2,501 - $3,000")</f>
        <v>0</v>
      </c>
      <c r="Q367" s="12">
        <f>COUNTIFS('ADU Homeowner Survey 2025'!$AG:$AG,"2025",'ADU Homeowner Survey 2025'!$B:$B,"Sonoma County", 'ADU Homeowner Survey 2025'!$Q:$Q, "3 or more",'ADU Homeowner Survey 2025'!$R:$R, "$3,001 - $3,500")</f>
        <v>0</v>
      </c>
      <c r="R367" s="12">
        <f>COUNTIFS('ADU Homeowner Survey 2025'!$AG:$AG,"2025",'ADU Homeowner Survey 2025'!$B:$B,"Sonoma County", 'ADU Homeowner Survey 2025'!$Q:$Q, "3 or more",'ADU Homeowner Survey 2025'!$R:$R, "$3,501 - $4,000")</f>
        <v>0</v>
      </c>
      <c r="S367" s="12">
        <f>COUNTIFS('ADU Homeowner Survey 2025'!$AG:$AG,"2025",'ADU Homeowner Survey 2025'!$B:$B,"Sonoma County", 'ADU Homeowner Survey 2025'!$Q:$Q, "3 or more",'ADU Homeowner Survey 2025'!$R:$R, "$4,001 - $4,500")</f>
        <v>0</v>
      </c>
      <c r="T367" s="12">
        <f>COUNTIFS('ADU Homeowner Survey 2025'!$AG:$AG,"2025",'ADU Homeowner Survey 2025'!$B:$B,"Sonoma County", 'ADU Homeowner Survey 2025'!$Q:$Q, "3 or more",'ADU Homeowner Survey 2025'!$R:$R, "More than $4,500")</f>
        <v>0</v>
      </c>
      <c r="U367" s="24">
        <f t="shared" si="99"/>
        <v>1</v>
      </c>
    </row>
    <row r="368" spans="1:21" ht="15.5" x14ac:dyDescent="0.35">
      <c r="A368" s="16"/>
      <c r="B368" s="29"/>
      <c r="C368" s="29"/>
      <c r="D368" s="29"/>
      <c r="E368" s="29"/>
      <c r="F368" s="29"/>
      <c r="G368" s="12"/>
      <c r="H368" s="12" t="s">
        <v>222</v>
      </c>
      <c r="I368" s="12">
        <f>SUM(I364:I367)</f>
        <v>0</v>
      </c>
      <c r="J368" s="12">
        <f>SUM(J364:J367)</f>
        <v>2</v>
      </c>
      <c r="K368" s="12">
        <f t="shared" ref="K368:T368" si="102">SUM(K364:K367)</f>
        <v>8</v>
      </c>
      <c r="L368" s="12">
        <f t="shared" si="102"/>
        <v>2</v>
      </c>
      <c r="M368" s="12">
        <f t="shared" si="102"/>
        <v>2</v>
      </c>
      <c r="N368" s="12">
        <f t="shared" si="102"/>
        <v>2</v>
      </c>
      <c r="O368" s="12">
        <f t="shared" si="102"/>
        <v>8</v>
      </c>
      <c r="P368" s="12">
        <f t="shared" si="102"/>
        <v>5</v>
      </c>
      <c r="Q368" s="12">
        <f t="shared" si="102"/>
        <v>1</v>
      </c>
      <c r="R368" s="12">
        <f t="shared" si="102"/>
        <v>0</v>
      </c>
      <c r="S368" s="12">
        <f t="shared" si="102"/>
        <v>0</v>
      </c>
      <c r="T368" s="12">
        <f t="shared" si="102"/>
        <v>0</v>
      </c>
      <c r="U368" s="24">
        <f t="shared" si="99"/>
        <v>30</v>
      </c>
    </row>
    <row r="369" spans="1:21" ht="15.5" x14ac:dyDescent="0.35">
      <c r="A369" s="16"/>
      <c r="B369" s="29"/>
      <c r="C369" s="29"/>
      <c r="D369" s="29"/>
      <c r="E369" s="29"/>
      <c r="F369" s="29"/>
      <c r="G369" s="12"/>
      <c r="H369" s="12"/>
      <c r="I369" s="12"/>
      <c r="J369" s="12"/>
      <c r="K369" s="12"/>
      <c r="L369" s="12"/>
      <c r="M369" s="12"/>
      <c r="N369" s="12"/>
      <c r="O369" s="12"/>
      <c r="P369" s="12"/>
      <c r="Q369" s="12"/>
      <c r="R369" s="12"/>
      <c r="S369" s="12"/>
      <c r="T369" s="12"/>
      <c r="U369" s="24"/>
    </row>
    <row r="370" spans="1:21" ht="15.75" customHeight="1" x14ac:dyDescent="0.35">
      <c r="A370" s="16"/>
      <c r="B370" s="12"/>
      <c r="C370" s="12"/>
      <c r="D370" s="12"/>
      <c r="E370" s="12"/>
      <c r="F370" s="12"/>
      <c r="G370" s="12"/>
      <c r="H370" s="50" t="s">
        <v>233</v>
      </c>
      <c r="I370" s="47"/>
      <c r="J370" s="47"/>
      <c r="K370" s="47"/>
      <c r="L370" s="47"/>
      <c r="M370" s="47"/>
      <c r="N370" s="47"/>
      <c r="O370" s="47"/>
      <c r="P370" s="47"/>
      <c r="Q370" s="47"/>
      <c r="R370" s="12"/>
      <c r="S370" s="12"/>
      <c r="T370" s="12"/>
      <c r="U370" s="24"/>
    </row>
    <row r="371" spans="1:21" ht="15.5" x14ac:dyDescent="0.35">
      <c r="A371" s="25" t="s">
        <v>220</v>
      </c>
      <c r="B371" s="12"/>
      <c r="C371" s="12"/>
      <c r="D371" s="12"/>
      <c r="E371" s="12"/>
      <c r="F371" s="12"/>
      <c r="G371" s="12"/>
      <c r="H371" s="47"/>
      <c r="I371" s="47"/>
      <c r="J371" s="47"/>
      <c r="K371" s="47"/>
      <c r="L371" s="47"/>
      <c r="M371" s="47"/>
      <c r="N371" s="47"/>
      <c r="O371" s="47"/>
      <c r="P371" s="47"/>
      <c r="Q371" s="47"/>
      <c r="R371" s="12"/>
      <c r="S371" s="12"/>
      <c r="T371" s="12"/>
      <c r="U371" s="24"/>
    </row>
    <row r="372" spans="1:21" ht="15.5" x14ac:dyDescent="0.35">
      <c r="A372" s="16"/>
      <c r="B372" s="12" t="s">
        <v>215</v>
      </c>
      <c r="C372" s="12" t="s">
        <v>208</v>
      </c>
      <c r="D372" s="12" t="s">
        <v>209</v>
      </c>
      <c r="E372" s="12" t="s">
        <v>210</v>
      </c>
      <c r="F372" s="12" t="s">
        <v>211</v>
      </c>
      <c r="G372" s="12"/>
      <c r="H372" s="12"/>
      <c r="I372" s="12" t="s">
        <v>76</v>
      </c>
      <c r="J372" s="12" t="s">
        <v>165</v>
      </c>
      <c r="K372" s="12" t="s">
        <v>208</v>
      </c>
      <c r="L372" s="12" t="s">
        <v>223</v>
      </c>
      <c r="M372" s="12" t="s">
        <v>210</v>
      </c>
      <c r="N372" s="12" t="s">
        <v>211</v>
      </c>
      <c r="O372" s="12" t="s">
        <v>224</v>
      </c>
      <c r="P372" s="12"/>
      <c r="Q372" s="12"/>
      <c r="R372" s="12"/>
      <c r="S372" s="12"/>
      <c r="T372" s="12"/>
      <c r="U372" s="24"/>
    </row>
    <row r="373" spans="1:21" ht="15.5" x14ac:dyDescent="0.35">
      <c r="A373" s="16" t="s">
        <v>42</v>
      </c>
      <c r="B373" s="29" t="s">
        <v>70</v>
      </c>
      <c r="C373" s="12" t="s">
        <v>67</v>
      </c>
      <c r="D373" s="29" t="s">
        <v>68</v>
      </c>
      <c r="E373" s="12" t="s">
        <v>69</v>
      </c>
      <c r="F373" s="12" t="s">
        <v>71</v>
      </c>
      <c r="G373" s="12"/>
      <c r="H373" s="12" t="s">
        <v>42</v>
      </c>
      <c r="I373" s="12">
        <f t="shared" ref="I373:K374" si="103">I364</f>
        <v>0</v>
      </c>
      <c r="J373" s="35">
        <f t="shared" si="103"/>
        <v>0</v>
      </c>
      <c r="K373" s="35">
        <f t="shared" si="103"/>
        <v>0</v>
      </c>
      <c r="L373" s="35">
        <v>0</v>
      </c>
      <c r="M373" s="35">
        <v>0</v>
      </c>
      <c r="N373" s="35">
        <v>0</v>
      </c>
      <c r="O373" s="35">
        <v>0</v>
      </c>
      <c r="P373" s="35">
        <f>SUM(I373:O373)</f>
        <v>0</v>
      </c>
      <c r="Q373" s="12"/>
      <c r="R373" s="12"/>
      <c r="S373" s="12"/>
      <c r="T373" s="12"/>
      <c r="U373" s="24"/>
    </row>
    <row r="374" spans="1:21" ht="15.5" x14ac:dyDescent="0.35">
      <c r="A374" s="16" t="s">
        <v>216</v>
      </c>
      <c r="B374" s="12" t="s">
        <v>71</v>
      </c>
      <c r="C374" s="12" t="s">
        <v>67</v>
      </c>
      <c r="D374" s="29" t="s">
        <v>68</v>
      </c>
      <c r="E374" s="29" t="s">
        <v>70</v>
      </c>
      <c r="F374" s="29" t="s">
        <v>72</v>
      </c>
      <c r="G374" s="12"/>
      <c r="H374" s="12" t="s">
        <v>216</v>
      </c>
      <c r="I374" s="12">
        <f t="shared" si="103"/>
        <v>0</v>
      </c>
      <c r="J374" s="35">
        <f t="shared" si="103"/>
        <v>1</v>
      </c>
      <c r="K374" s="35">
        <f t="shared" si="103"/>
        <v>8</v>
      </c>
      <c r="L374" s="35">
        <f>M365*N345</f>
        <v>0.63927855711422843</v>
      </c>
      <c r="M374" s="7">
        <f>M365*N346+N365+O365*N349</f>
        <v>3.2505010020040079</v>
      </c>
      <c r="N374" s="35">
        <f>O365*N350+P365+Q365*N353</f>
        <v>8.4448897795591176</v>
      </c>
      <c r="O374" s="35">
        <f>Q365*N354</f>
        <v>0.66533066132264529</v>
      </c>
      <c r="P374" s="35">
        <f t="shared" ref="P374:P377" si="104">SUM(I374:O374)</f>
        <v>21.999999999999996</v>
      </c>
      <c r="Q374" s="12"/>
      <c r="R374" s="12"/>
      <c r="S374" s="12"/>
      <c r="T374" s="12"/>
      <c r="U374" s="24"/>
    </row>
    <row r="375" spans="1:21" ht="15.5" x14ac:dyDescent="0.35">
      <c r="A375" s="16" t="s">
        <v>217</v>
      </c>
      <c r="B375" s="12" t="s">
        <v>71</v>
      </c>
      <c r="C375" s="12" t="s">
        <v>67</v>
      </c>
      <c r="D375" s="29" t="s">
        <v>68</v>
      </c>
      <c r="E375" s="29" t="s">
        <v>70</v>
      </c>
      <c r="F375" s="12" t="s">
        <v>73</v>
      </c>
      <c r="G375" s="12"/>
      <c r="H375" s="12" t="s">
        <v>217</v>
      </c>
      <c r="I375" s="12">
        <f>I366</f>
        <v>0</v>
      </c>
      <c r="J375" s="35">
        <f>J366</f>
        <v>1</v>
      </c>
      <c r="K375" s="35">
        <f>K366+L366*P343</f>
        <v>1.782</v>
      </c>
      <c r="L375" s="35">
        <f>L366*P344+M366*P345</f>
        <v>1.1879398797595191</v>
      </c>
      <c r="M375" s="35">
        <f>M366*P346+O366*P349</f>
        <v>2.2845691382765527</v>
      </c>
      <c r="N375" s="35">
        <f>O366*P350</f>
        <v>0.74549098196392793</v>
      </c>
      <c r="O375" s="35">
        <v>0</v>
      </c>
      <c r="P375" s="35">
        <f t="shared" si="104"/>
        <v>7</v>
      </c>
      <c r="Q375" s="12"/>
      <c r="R375" s="12"/>
      <c r="S375" s="12"/>
      <c r="T375" s="12"/>
      <c r="U375" s="24"/>
    </row>
    <row r="376" spans="1:21" ht="15.5" x14ac:dyDescent="0.35">
      <c r="A376" s="16" t="s">
        <v>218</v>
      </c>
      <c r="B376" s="29" t="s">
        <v>72</v>
      </c>
      <c r="C376" s="12" t="s">
        <v>67</v>
      </c>
      <c r="D376" s="12" t="s">
        <v>69</v>
      </c>
      <c r="E376" s="12" t="s">
        <v>71</v>
      </c>
      <c r="F376" s="12" t="s">
        <v>73</v>
      </c>
      <c r="G376" s="12"/>
      <c r="H376" s="12" t="s">
        <v>221</v>
      </c>
      <c r="I376" s="12">
        <f>I367</f>
        <v>0</v>
      </c>
      <c r="J376" s="35">
        <f>J367</f>
        <v>0</v>
      </c>
      <c r="K376" s="35">
        <f>K367</f>
        <v>0</v>
      </c>
      <c r="L376" s="35">
        <v>0</v>
      </c>
      <c r="M376" s="35">
        <f>O367</f>
        <v>1</v>
      </c>
      <c r="N376" s="35">
        <v>0</v>
      </c>
      <c r="O376" s="35">
        <v>0</v>
      </c>
      <c r="P376" s="35">
        <f t="shared" si="104"/>
        <v>1</v>
      </c>
      <c r="Q376" s="12"/>
      <c r="R376" s="12"/>
      <c r="S376" s="12"/>
      <c r="T376" s="12"/>
      <c r="U376" s="24"/>
    </row>
    <row r="377" spans="1:21" ht="15.5" x14ac:dyDescent="0.35">
      <c r="A377" s="16"/>
      <c r="B377" s="12"/>
      <c r="C377" s="12"/>
      <c r="D377" s="12"/>
      <c r="E377" s="12"/>
      <c r="F377" s="12"/>
      <c r="G377" s="12"/>
      <c r="H377" s="12" t="s">
        <v>222</v>
      </c>
      <c r="I377" s="12">
        <f>I368</f>
        <v>0</v>
      </c>
      <c r="J377" s="35">
        <f>SUM(J373:J376)</f>
        <v>2</v>
      </c>
      <c r="K377" s="35">
        <f t="shared" ref="K377:O377" si="105">SUM(K373:K376)</f>
        <v>9.782</v>
      </c>
      <c r="L377" s="35">
        <f t="shared" si="105"/>
        <v>1.8272184368737476</v>
      </c>
      <c r="M377" s="35">
        <f t="shared" si="105"/>
        <v>6.5350701402805607</v>
      </c>
      <c r="N377" s="35">
        <f t="shared" si="105"/>
        <v>9.1903807615230448</v>
      </c>
      <c r="O377" s="35">
        <f t="shared" si="105"/>
        <v>0.66533066132264529</v>
      </c>
      <c r="P377" s="35">
        <f t="shared" si="104"/>
        <v>30</v>
      </c>
      <c r="Q377" s="12"/>
      <c r="R377" s="12"/>
      <c r="S377" s="12"/>
      <c r="T377" s="12"/>
      <c r="U377" s="24"/>
    </row>
    <row r="378" spans="1:21" ht="16" thickBot="1" x14ac:dyDescent="0.4">
      <c r="A378" s="18"/>
      <c r="B378" s="26"/>
      <c r="C378" s="26"/>
      <c r="D378" s="26"/>
      <c r="E378" s="26"/>
      <c r="F378" s="26"/>
      <c r="G378" s="26"/>
      <c r="H378" s="26"/>
      <c r="I378" s="26"/>
      <c r="J378" s="26"/>
      <c r="K378" s="26"/>
      <c r="L378" s="26"/>
      <c r="M378" s="26"/>
      <c r="N378" s="26"/>
      <c r="O378" s="26"/>
      <c r="P378" s="26"/>
      <c r="Q378" s="26"/>
      <c r="R378" s="26"/>
      <c r="S378" s="26"/>
      <c r="T378" s="26"/>
      <c r="U378" s="27"/>
    </row>
  </sheetData>
  <mergeCells count="2">
    <mergeCell ref="H84:Q85"/>
    <mergeCell ref="H288:Q289"/>
  </mergeCells>
  <hyperlinks>
    <hyperlink ref="A1" r:id="rId1" xr:uid="{68B058A1-8A3C-4068-B004-434A9A5E98DE}"/>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F4FF7-78DA-4AA9-92C4-12ECE8B4270C}">
  <dimension ref="A1:AG606"/>
  <sheetViews>
    <sheetView topLeftCell="B2" zoomScale="60" zoomScaleNormal="60" workbookViewId="0">
      <selection activeCell="AE1" sqref="AE1:AF606"/>
    </sheetView>
  </sheetViews>
  <sheetFormatPr defaultRowHeight="14.5" x14ac:dyDescent="0.35"/>
  <cols>
    <col min="2" max="2" width="24.1796875" customWidth="1"/>
    <col min="3" max="3" width="34.1796875" customWidth="1"/>
    <col min="4" max="4" width="30.81640625" customWidth="1"/>
    <col min="5" max="5" width="31.54296875" customWidth="1"/>
    <col min="6" max="6" width="31" customWidth="1"/>
    <col min="7" max="7" width="35.54296875" customWidth="1"/>
    <col min="8" max="8" width="35.81640625" customWidth="1"/>
    <col min="9" max="9" width="32.26953125" customWidth="1"/>
    <col min="10" max="10" width="33.453125" customWidth="1"/>
    <col min="11" max="14" width="35.26953125" style="1" customWidth="1"/>
    <col min="15" max="15" width="60.1796875" customWidth="1"/>
    <col min="16" max="16" width="56.54296875" customWidth="1"/>
    <col min="17" max="17" width="37.1796875" customWidth="1"/>
    <col min="18" max="18" width="70.1796875" customWidth="1"/>
    <col min="19" max="19" width="68.1796875" customWidth="1"/>
    <col min="20" max="20" width="61.453125" customWidth="1"/>
    <col min="21" max="21" width="50.54296875" customWidth="1"/>
    <col min="22" max="22" width="42.7265625" customWidth="1"/>
    <col min="23" max="23" width="61.453125" customWidth="1"/>
    <col min="24" max="24" width="45.453125" customWidth="1"/>
    <col min="25" max="25" width="64.7265625" customWidth="1"/>
    <col min="26" max="26" width="49.453125" customWidth="1"/>
    <col min="27" max="27" width="52.453125" customWidth="1"/>
    <col min="28" max="28" width="30.453125" customWidth="1"/>
    <col min="29" max="29" width="32.81640625" customWidth="1"/>
    <col min="30" max="30" width="21.81640625" customWidth="1"/>
    <col min="31" max="31" width="22.7265625" customWidth="1"/>
    <col min="32" max="32" width="14" style="7" bestFit="1" customWidth="1"/>
  </cols>
  <sheetData>
    <row r="1" spans="1:33" s="2" customFormat="1" ht="51.75" customHeight="1" x14ac:dyDescent="0.35">
      <c r="A1" s="28" t="s">
        <v>234</v>
      </c>
      <c r="B1" s="28" t="s">
        <v>235</v>
      </c>
      <c r="C1" s="28" t="s">
        <v>236</v>
      </c>
      <c r="D1" s="28" t="s">
        <v>237</v>
      </c>
      <c r="E1" s="28" t="s">
        <v>238</v>
      </c>
      <c r="F1" s="28" t="s">
        <v>239</v>
      </c>
      <c r="G1" s="28" t="s">
        <v>240</v>
      </c>
      <c r="H1" s="28" t="s">
        <v>241</v>
      </c>
      <c r="I1" s="28" t="s">
        <v>242</v>
      </c>
      <c r="J1" s="28" t="s">
        <v>243</v>
      </c>
      <c r="K1" s="28" t="s">
        <v>244</v>
      </c>
      <c r="L1" s="28" t="s">
        <v>245</v>
      </c>
      <c r="M1" s="28" t="s">
        <v>246</v>
      </c>
      <c r="N1" s="28" t="s">
        <v>247</v>
      </c>
      <c r="O1" s="28" t="s">
        <v>248</v>
      </c>
      <c r="P1" s="28" t="s">
        <v>249</v>
      </c>
      <c r="Q1" s="28" t="s">
        <v>250</v>
      </c>
      <c r="R1" s="28" t="s">
        <v>251</v>
      </c>
      <c r="S1" s="28" t="s">
        <v>252</v>
      </c>
      <c r="T1" s="28" t="s">
        <v>253</v>
      </c>
      <c r="U1" s="28" t="s">
        <v>254</v>
      </c>
      <c r="V1" s="28" t="s">
        <v>255</v>
      </c>
      <c r="W1" s="28" t="s">
        <v>256</v>
      </c>
      <c r="X1" s="28" t="s">
        <v>257</v>
      </c>
      <c r="Y1" s="28" t="s">
        <v>258</v>
      </c>
      <c r="Z1" s="28" t="s">
        <v>259</v>
      </c>
      <c r="AA1" s="28" t="s">
        <v>260</v>
      </c>
      <c r="AB1" s="28" t="s">
        <v>261</v>
      </c>
      <c r="AC1" s="28" t="s">
        <v>262</v>
      </c>
      <c r="AD1" s="28" t="s">
        <v>263</v>
      </c>
      <c r="AE1" s="28" t="s">
        <v>11</v>
      </c>
      <c r="AF1" s="53" t="s">
        <v>264</v>
      </c>
      <c r="AG1" s="28" t="s">
        <v>265</v>
      </c>
    </row>
    <row r="2" spans="1:33" ht="15.5" x14ac:dyDescent="0.35">
      <c r="A2" s="12">
        <v>372</v>
      </c>
      <c r="B2" s="12" t="s">
        <v>98</v>
      </c>
      <c r="C2" s="12" t="s">
        <v>266</v>
      </c>
      <c r="D2" s="12"/>
      <c r="E2" s="12"/>
      <c r="F2" s="12"/>
      <c r="G2" s="12"/>
      <c r="H2" s="12"/>
      <c r="I2" s="12"/>
      <c r="J2" s="12"/>
      <c r="K2" s="10" t="s">
        <v>267</v>
      </c>
      <c r="L2" s="10" t="s">
        <v>268</v>
      </c>
      <c r="M2" s="10" t="s">
        <v>269</v>
      </c>
      <c r="N2" s="10" t="s">
        <v>270</v>
      </c>
      <c r="O2" s="12" t="s">
        <v>38</v>
      </c>
      <c r="P2" s="12">
        <v>238</v>
      </c>
      <c r="Q2" s="12" t="s">
        <v>271</v>
      </c>
      <c r="R2" s="12" t="s">
        <v>67</v>
      </c>
      <c r="S2" s="12" t="s">
        <v>272</v>
      </c>
      <c r="T2" s="12" t="s">
        <v>159</v>
      </c>
      <c r="U2" s="12" t="s">
        <v>160</v>
      </c>
      <c r="V2" s="12"/>
      <c r="W2" s="12"/>
      <c r="X2" s="12"/>
      <c r="Y2" s="12"/>
      <c r="Z2" s="12"/>
      <c r="AA2" s="12"/>
      <c r="AB2" s="12"/>
      <c r="AC2" s="12" t="str">
        <f>Table1[[#This Row],[City or Community (Alameda County)]]</f>
        <v>Pleasanton</v>
      </c>
      <c r="AD2" s="12">
        <f>COUNTIF(C:C,Table1[[#This Row],[City or Community (Alameda County)]])</f>
        <v>42</v>
      </c>
      <c r="AE2" s="12" t="str">
        <f>Table1[[#This Row],[Please select your county]]</f>
        <v>Alameda County</v>
      </c>
      <c r="AF2" s="41">
        <f>COUNTIF(AE:AE,Table1[[#This Row],[County]])</f>
        <v>52</v>
      </c>
      <c r="AG2" s="12">
        <v>2025</v>
      </c>
    </row>
    <row r="3" spans="1:33" ht="15.5" x14ac:dyDescent="0.35">
      <c r="A3" s="12">
        <v>438</v>
      </c>
      <c r="B3" s="12" t="s">
        <v>98</v>
      </c>
      <c r="C3" s="12" t="s">
        <v>266</v>
      </c>
      <c r="D3" s="12"/>
      <c r="E3" s="12"/>
      <c r="F3" s="12"/>
      <c r="G3" s="12"/>
      <c r="H3" s="12"/>
      <c r="I3" s="12"/>
      <c r="J3" s="12"/>
      <c r="K3" s="10" t="s">
        <v>267</v>
      </c>
      <c r="L3" s="10" t="s">
        <v>268</v>
      </c>
      <c r="M3" s="10" t="s">
        <v>269</v>
      </c>
      <c r="N3" s="10" t="s">
        <v>270</v>
      </c>
      <c r="O3" s="12" t="s">
        <v>38</v>
      </c>
      <c r="P3" s="12">
        <v>244</v>
      </c>
      <c r="Q3" s="12" t="s">
        <v>271</v>
      </c>
      <c r="R3" s="12" t="s">
        <v>165</v>
      </c>
      <c r="S3" s="12" t="s">
        <v>272</v>
      </c>
      <c r="T3" s="12" t="s">
        <v>159</v>
      </c>
      <c r="U3" s="12" t="s">
        <v>160</v>
      </c>
      <c r="V3" s="12"/>
      <c r="W3" s="12"/>
      <c r="X3" s="12"/>
      <c r="Y3" s="12"/>
      <c r="Z3" s="12"/>
      <c r="AA3" s="12"/>
      <c r="AB3" s="12"/>
      <c r="AC3" s="12" t="str">
        <f>Table1[[#This Row],[City or Community (Alameda County)]]</f>
        <v>Pleasanton</v>
      </c>
      <c r="AD3" s="12">
        <f>COUNTIF(C:C,Table1[[#This Row],[City or Community (Alameda County)]])</f>
        <v>42</v>
      </c>
      <c r="AE3" s="12" t="str">
        <f>Table1[[#This Row],[Please select your county]]</f>
        <v>Alameda County</v>
      </c>
      <c r="AF3" s="41">
        <f>COUNTIF(AE:AE,Table1[[#This Row],[County]])</f>
        <v>52</v>
      </c>
      <c r="AG3" s="12">
        <v>2025</v>
      </c>
    </row>
    <row r="4" spans="1:33" ht="15.5" x14ac:dyDescent="0.35">
      <c r="A4" s="12">
        <v>433</v>
      </c>
      <c r="B4" s="12" t="s">
        <v>98</v>
      </c>
      <c r="C4" s="12" t="s">
        <v>266</v>
      </c>
      <c r="D4" s="12"/>
      <c r="E4" s="12"/>
      <c r="F4" s="12"/>
      <c r="G4" s="12"/>
      <c r="H4" s="12"/>
      <c r="I4" s="12"/>
      <c r="J4" s="12"/>
      <c r="K4" s="12" t="s">
        <v>267</v>
      </c>
      <c r="L4" s="12" t="s">
        <v>268</v>
      </c>
      <c r="M4" s="12" t="s">
        <v>269</v>
      </c>
      <c r="N4" s="12" t="s">
        <v>270</v>
      </c>
      <c r="O4" s="12" t="s">
        <v>38</v>
      </c>
      <c r="P4" s="12">
        <v>250</v>
      </c>
      <c r="Q4" s="12" t="s">
        <v>271</v>
      </c>
      <c r="R4" s="12" t="s">
        <v>165</v>
      </c>
      <c r="S4" s="12" t="s">
        <v>272</v>
      </c>
      <c r="T4" s="12" t="s">
        <v>159</v>
      </c>
      <c r="U4" s="12" t="s">
        <v>160</v>
      </c>
      <c r="V4" s="12"/>
      <c r="W4" s="12"/>
      <c r="X4" s="12"/>
      <c r="Y4" s="12"/>
      <c r="Z4" s="12"/>
      <c r="AA4" s="12"/>
      <c r="AB4" s="12"/>
      <c r="AC4" s="12" t="str">
        <f>Table1[[#This Row],[City or Community (Alameda County)]]</f>
        <v>Pleasanton</v>
      </c>
      <c r="AD4" s="12">
        <f>COUNTIF(C:C,Table1[[#This Row],[City or Community (Alameda County)]])</f>
        <v>42</v>
      </c>
      <c r="AE4" s="12" t="str">
        <f>Table1[[#This Row],[Please select your county]]</f>
        <v>Alameda County</v>
      </c>
      <c r="AF4" s="41">
        <f>COUNTIF(AE:AE,Table1[[#This Row],[County]])</f>
        <v>52</v>
      </c>
      <c r="AG4" s="12">
        <v>2025</v>
      </c>
    </row>
    <row r="5" spans="1:33" ht="15.5" x14ac:dyDescent="0.35">
      <c r="A5" s="12">
        <v>371</v>
      </c>
      <c r="B5" s="12" t="s">
        <v>98</v>
      </c>
      <c r="C5" s="12" t="s">
        <v>266</v>
      </c>
      <c r="D5" s="12"/>
      <c r="E5" s="12"/>
      <c r="F5" s="12"/>
      <c r="G5" s="12"/>
      <c r="H5" s="12"/>
      <c r="I5" s="12"/>
      <c r="J5" s="12"/>
      <c r="K5" s="10" t="s">
        <v>273</v>
      </c>
      <c r="L5" s="12" t="s">
        <v>268</v>
      </c>
      <c r="M5" s="12" t="s">
        <v>269</v>
      </c>
      <c r="N5" s="12" t="s">
        <v>270</v>
      </c>
      <c r="O5" s="12" t="s">
        <v>39</v>
      </c>
      <c r="P5" s="12">
        <v>300</v>
      </c>
      <c r="Q5" s="12" t="s">
        <v>271</v>
      </c>
      <c r="R5" s="12" t="s">
        <v>76</v>
      </c>
      <c r="S5" s="12" t="s">
        <v>272</v>
      </c>
      <c r="T5" s="12" t="s">
        <v>159</v>
      </c>
      <c r="U5" s="12" t="s">
        <v>160</v>
      </c>
      <c r="V5" s="12"/>
      <c r="W5" s="12"/>
      <c r="X5" s="12"/>
      <c r="Y5" s="12"/>
      <c r="Z5" s="12"/>
      <c r="AA5" s="12"/>
      <c r="AB5" s="12"/>
      <c r="AC5" s="12" t="str">
        <f>Table1[[#This Row],[City or Community (Alameda County)]]</f>
        <v>Pleasanton</v>
      </c>
      <c r="AD5" s="12">
        <f>COUNTIF(C:C,Table1[[#This Row],[City or Community (Alameda County)]])</f>
        <v>42</v>
      </c>
      <c r="AE5" s="12" t="str">
        <f>Table1[[#This Row],[Please select your county]]</f>
        <v>Alameda County</v>
      </c>
      <c r="AF5" s="41">
        <f>COUNTIF(AE:AE,Table1[[#This Row],[County]])</f>
        <v>52</v>
      </c>
      <c r="AG5" s="12">
        <v>2025</v>
      </c>
    </row>
    <row r="6" spans="1:33" ht="15.5" x14ac:dyDescent="0.35">
      <c r="A6" s="12">
        <v>244</v>
      </c>
      <c r="B6" s="12" t="s">
        <v>98</v>
      </c>
      <c r="C6" s="12" t="s">
        <v>266</v>
      </c>
      <c r="D6" s="12"/>
      <c r="E6" s="12"/>
      <c r="F6" s="12"/>
      <c r="G6" s="12"/>
      <c r="H6" s="12"/>
      <c r="I6" s="12"/>
      <c r="J6" s="12"/>
      <c r="K6" s="10" t="s">
        <v>274</v>
      </c>
      <c r="L6" s="10"/>
      <c r="M6" s="10"/>
      <c r="N6" s="10"/>
      <c r="O6" s="12" t="s">
        <v>38</v>
      </c>
      <c r="P6" s="12">
        <v>334</v>
      </c>
      <c r="Q6" s="12" t="s">
        <v>271</v>
      </c>
      <c r="R6" s="12" t="s">
        <v>79</v>
      </c>
      <c r="S6" s="12" t="s">
        <v>275</v>
      </c>
      <c r="T6" s="12" t="s">
        <v>159</v>
      </c>
      <c r="U6" s="12" t="s">
        <v>160</v>
      </c>
      <c r="V6" s="12"/>
      <c r="W6" s="12"/>
      <c r="X6" s="12"/>
      <c r="Y6" s="12"/>
      <c r="Z6" s="12"/>
      <c r="AA6" s="12"/>
      <c r="AB6" s="12"/>
      <c r="AC6" s="12" t="str">
        <f>Table1[[#This Row],[City or Community (Alameda County)]]</f>
        <v>Pleasanton</v>
      </c>
      <c r="AD6" s="12">
        <f>COUNTIF(C:C,Table1[[#This Row],[City or Community (Alameda County)]])</f>
        <v>42</v>
      </c>
      <c r="AE6" s="12" t="str">
        <f>Table1[[#This Row],[Please select your county]]</f>
        <v>Alameda County</v>
      </c>
      <c r="AF6" s="41">
        <f>COUNTIF(AE:AE,Table1[[#This Row],[County]])</f>
        <v>52</v>
      </c>
      <c r="AG6" s="12">
        <v>2025</v>
      </c>
    </row>
    <row r="7" spans="1:33" ht="15.5" x14ac:dyDescent="0.35">
      <c r="A7" s="12">
        <v>271</v>
      </c>
      <c r="B7" s="12" t="s">
        <v>98</v>
      </c>
      <c r="C7" s="12" t="s">
        <v>266</v>
      </c>
      <c r="D7" s="12"/>
      <c r="E7" s="12"/>
      <c r="F7" s="12"/>
      <c r="G7" s="12"/>
      <c r="H7" s="12"/>
      <c r="I7" s="12"/>
      <c r="J7" s="12"/>
      <c r="K7" s="10" t="s">
        <v>274</v>
      </c>
      <c r="L7" s="10"/>
      <c r="M7" s="10"/>
      <c r="N7" s="10"/>
      <c r="O7" s="12" t="s">
        <v>38</v>
      </c>
      <c r="P7" s="12">
        <v>334</v>
      </c>
      <c r="Q7" s="12" t="s">
        <v>271</v>
      </c>
      <c r="R7" s="12" t="s">
        <v>79</v>
      </c>
      <c r="S7" s="12" t="s">
        <v>276</v>
      </c>
      <c r="T7" s="12" t="s">
        <v>159</v>
      </c>
      <c r="U7" s="12" t="s">
        <v>160</v>
      </c>
      <c r="V7" s="12"/>
      <c r="W7" s="12"/>
      <c r="X7" s="12"/>
      <c r="Y7" s="12"/>
      <c r="Z7" s="12"/>
      <c r="AA7" s="12"/>
      <c r="AB7" s="12"/>
      <c r="AC7" s="12" t="str">
        <f>Table1[[#This Row],[City or Community (Alameda County)]]</f>
        <v>Pleasanton</v>
      </c>
      <c r="AD7" s="12">
        <f>COUNTIF(C:C,Table1[[#This Row],[City or Community (Alameda County)]])</f>
        <v>42</v>
      </c>
      <c r="AE7" s="12" t="str">
        <f>Table1[[#This Row],[Please select your county]]</f>
        <v>Alameda County</v>
      </c>
      <c r="AF7" s="41">
        <f>COUNTIF(AE:AE,Table1[[#This Row],[County]])</f>
        <v>52</v>
      </c>
      <c r="AG7" s="12">
        <v>2025</v>
      </c>
    </row>
    <row r="8" spans="1:33" ht="31" x14ac:dyDescent="0.35">
      <c r="A8" s="12">
        <v>440</v>
      </c>
      <c r="B8" s="12" t="s">
        <v>98</v>
      </c>
      <c r="C8" s="12" t="s">
        <v>266</v>
      </c>
      <c r="D8" s="12"/>
      <c r="E8" s="12"/>
      <c r="F8" s="12"/>
      <c r="G8" s="12"/>
      <c r="H8" s="12"/>
      <c r="I8" s="12"/>
      <c r="J8" s="12"/>
      <c r="K8" s="10" t="s">
        <v>273</v>
      </c>
      <c r="L8" s="10" t="s">
        <v>277</v>
      </c>
      <c r="M8" s="10" t="s">
        <v>269</v>
      </c>
      <c r="N8" s="10" t="s">
        <v>278</v>
      </c>
      <c r="O8" s="12" t="s">
        <v>39</v>
      </c>
      <c r="P8" s="12">
        <v>360</v>
      </c>
      <c r="Q8" s="12" t="s">
        <v>271</v>
      </c>
      <c r="R8" s="12" t="s">
        <v>76</v>
      </c>
      <c r="S8" s="12" t="s">
        <v>276</v>
      </c>
      <c r="T8" s="12" t="s">
        <v>159</v>
      </c>
      <c r="U8" s="12" t="s">
        <v>160</v>
      </c>
      <c r="V8" s="12"/>
      <c r="W8" s="12"/>
      <c r="X8" s="12"/>
      <c r="Y8" s="12"/>
      <c r="Z8" s="12"/>
      <c r="AA8" s="12"/>
      <c r="AB8" s="12"/>
      <c r="AC8" s="12" t="str">
        <f>Table1[[#This Row],[City or Community (Alameda County)]]</f>
        <v>Pleasanton</v>
      </c>
      <c r="AD8" s="12">
        <f>COUNTIF(C:C,Table1[[#This Row],[City or Community (Alameda County)]])</f>
        <v>42</v>
      </c>
      <c r="AE8" s="12" t="str">
        <f>Table1[[#This Row],[Please select your county]]</f>
        <v>Alameda County</v>
      </c>
      <c r="AF8" s="41">
        <f>COUNTIF(AE:AE,Table1[[#This Row],[County]])</f>
        <v>52</v>
      </c>
      <c r="AG8" s="12">
        <v>2025</v>
      </c>
    </row>
    <row r="9" spans="1:33" ht="31" x14ac:dyDescent="0.35">
      <c r="A9" s="12">
        <v>468</v>
      </c>
      <c r="B9" s="12" t="s">
        <v>98</v>
      </c>
      <c r="C9" s="12" t="s">
        <v>266</v>
      </c>
      <c r="D9" s="12"/>
      <c r="E9" s="12"/>
      <c r="F9" s="12"/>
      <c r="G9" s="12"/>
      <c r="H9" s="12"/>
      <c r="I9" s="12"/>
      <c r="J9" s="12"/>
      <c r="K9" s="10" t="s">
        <v>274</v>
      </c>
      <c r="L9" s="10" t="s">
        <v>279</v>
      </c>
      <c r="M9" s="10" t="s">
        <v>269</v>
      </c>
      <c r="N9" s="10" t="s">
        <v>280</v>
      </c>
      <c r="O9" s="12" t="s">
        <v>38</v>
      </c>
      <c r="P9" s="12">
        <v>390</v>
      </c>
      <c r="Q9" s="12" t="s">
        <v>281</v>
      </c>
      <c r="R9" s="12" t="s">
        <v>70</v>
      </c>
      <c r="S9" s="12" t="s">
        <v>272</v>
      </c>
      <c r="T9" s="12" t="s">
        <v>159</v>
      </c>
      <c r="U9" s="12" t="s">
        <v>160</v>
      </c>
      <c r="V9" s="12"/>
      <c r="W9" s="12"/>
      <c r="X9" s="12"/>
      <c r="Y9" s="12"/>
      <c r="Z9" s="12"/>
      <c r="AA9" s="12"/>
      <c r="AB9" s="12"/>
      <c r="AC9" s="12" t="str">
        <f>Table1[[#This Row],[City or Community (Alameda County)]]</f>
        <v>Pleasanton</v>
      </c>
      <c r="AD9" s="12">
        <f>COUNTIF(C:C,Table1[[#This Row],[City or Community (Alameda County)]])</f>
        <v>42</v>
      </c>
      <c r="AE9" s="12" t="str">
        <f>Table1[[#This Row],[Please select your county]]</f>
        <v>Alameda County</v>
      </c>
      <c r="AF9" s="41">
        <f>COUNTIF(AE:AE,Table1[[#This Row],[County]])</f>
        <v>52</v>
      </c>
      <c r="AG9" s="12">
        <v>2025</v>
      </c>
    </row>
    <row r="10" spans="1:33" ht="15.5" x14ac:dyDescent="0.35">
      <c r="A10" s="12">
        <v>221</v>
      </c>
      <c r="B10" s="12" t="s">
        <v>98</v>
      </c>
      <c r="C10" s="12" t="s">
        <v>266</v>
      </c>
      <c r="D10" s="12"/>
      <c r="E10" s="12"/>
      <c r="F10" s="12"/>
      <c r="G10" s="12"/>
      <c r="H10" s="12"/>
      <c r="I10" s="12"/>
      <c r="J10" s="12"/>
      <c r="K10" s="12" t="s">
        <v>274</v>
      </c>
      <c r="L10" s="12"/>
      <c r="M10" s="12"/>
      <c r="N10" s="12"/>
      <c r="O10" s="12" t="s">
        <v>38</v>
      </c>
      <c r="P10" s="12">
        <v>400</v>
      </c>
      <c r="Q10" s="12" t="s">
        <v>271</v>
      </c>
      <c r="R10" s="12" t="s">
        <v>165</v>
      </c>
      <c r="S10" s="12" t="s">
        <v>282</v>
      </c>
      <c r="T10" s="12" t="s">
        <v>159</v>
      </c>
      <c r="U10" s="12" t="s">
        <v>160</v>
      </c>
      <c r="V10" s="12"/>
      <c r="W10" s="12"/>
      <c r="X10" s="12"/>
      <c r="Y10" s="12"/>
      <c r="Z10" s="12"/>
      <c r="AA10" s="12"/>
      <c r="AB10" s="12"/>
      <c r="AC10" s="12" t="str">
        <f>Table1[[#This Row],[City or Community (Alameda County)]]</f>
        <v>Pleasanton</v>
      </c>
      <c r="AD10" s="12">
        <f>COUNTIF(C:C,Table1[[#This Row],[City or Community (Alameda County)]])</f>
        <v>42</v>
      </c>
      <c r="AE10" s="12" t="str">
        <f>Table1[[#This Row],[Please select your county]]</f>
        <v>Alameda County</v>
      </c>
      <c r="AF10" s="41">
        <f>COUNTIF(AE:AE,Table1[[#This Row],[County]])</f>
        <v>52</v>
      </c>
      <c r="AG10" s="12">
        <v>2025</v>
      </c>
    </row>
    <row r="11" spans="1:33" ht="15.5" x14ac:dyDescent="0.35">
      <c r="A11" s="12">
        <v>115</v>
      </c>
      <c r="B11" s="12" t="s">
        <v>98</v>
      </c>
      <c r="C11" s="12" t="s">
        <v>266</v>
      </c>
      <c r="D11" s="12"/>
      <c r="E11" s="12"/>
      <c r="F11" s="12"/>
      <c r="G11" s="12"/>
      <c r="H11" s="12"/>
      <c r="I11" s="12"/>
      <c r="J11" s="12"/>
      <c r="K11" s="10" t="s">
        <v>283</v>
      </c>
      <c r="L11" s="10"/>
      <c r="M11" s="10"/>
      <c r="N11" s="10"/>
      <c r="O11" s="12" t="s">
        <v>38</v>
      </c>
      <c r="P11" s="12">
        <v>418</v>
      </c>
      <c r="Q11" s="12" t="s">
        <v>281</v>
      </c>
      <c r="R11" s="12" t="s">
        <v>69</v>
      </c>
      <c r="S11" s="12" t="s">
        <v>284</v>
      </c>
      <c r="T11" s="12" t="s">
        <v>159</v>
      </c>
      <c r="U11" s="12" t="s">
        <v>159</v>
      </c>
      <c r="V11" s="12" t="s">
        <v>163</v>
      </c>
      <c r="W11" s="12"/>
      <c r="X11" s="12"/>
      <c r="Y11" s="12" t="s">
        <v>285</v>
      </c>
      <c r="Z11" s="12"/>
      <c r="AA11" s="12" t="s">
        <v>286</v>
      </c>
      <c r="AB11" s="12" t="s">
        <v>186</v>
      </c>
      <c r="AC11" s="12" t="str">
        <f>Table1[[#This Row],[City or Community (Alameda County)]]</f>
        <v>Pleasanton</v>
      </c>
      <c r="AD11" s="12">
        <f>COUNTIF(C:C,Table1[[#This Row],[City or Community (Alameda County)]])</f>
        <v>42</v>
      </c>
      <c r="AE11" s="12" t="str">
        <f>Table1[[#This Row],[Please select your county]]</f>
        <v>Alameda County</v>
      </c>
      <c r="AF11" s="41">
        <f>COUNTIF(AE:AE,Table1[[#This Row],[County]])</f>
        <v>52</v>
      </c>
      <c r="AG11" s="12">
        <v>2025</v>
      </c>
    </row>
    <row r="12" spans="1:33" ht="15.5" x14ac:dyDescent="0.35">
      <c r="A12" s="12">
        <v>136</v>
      </c>
      <c r="B12" s="12" t="s">
        <v>98</v>
      </c>
      <c r="C12" s="12" t="s">
        <v>266</v>
      </c>
      <c r="D12" s="12"/>
      <c r="E12" s="12"/>
      <c r="F12" s="12"/>
      <c r="G12" s="12"/>
      <c r="H12" s="12"/>
      <c r="I12" s="12"/>
      <c r="J12" s="12"/>
      <c r="K12" s="10" t="s">
        <v>287</v>
      </c>
      <c r="L12" s="10"/>
      <c r="M12" s="10"/>
      <c r="N12" s="10"/>
      <c r="O12" s="12" t="s">
        <v>38</v>
      </c>
      <c r="P12" s="12">
        <v>450</v>
      </c>
      <c r="Q12" s="12" t="s">
        <v>281</v>
      </c>
      <c r="R12" s="12" t="s">
        <v>79</v>
      </c>
      <c r="S12" s="12" t="s">
        <v>272</v>
      </c>
      <c r="T12" s="12" t="s">
        <v>159</v>
      </c>
      <c r="U12" s="12" t="s">
        <v>160</v>
      </c>
      <c r="V12" s="12"/>
      <c r="W12" s="12"/>
      <c r="X12" s="12"/>
      <c r="Y12" s="12"/>
      <c r="Z12" s="12"/>
      <c r="AA12" s="12"/>
      <c r="AB12" s="12"/>
      <c r="AC12" s="12" t="str">
        <f>Table1[[#This Row],[City or Community (Alameda County)]]</f>
        <v>Pleasanton</v>
      </c>
      <c r="AD12" s="12">
        <f>COUNTIF(C:C,Table1[[#This Row],[City or Community (Alameda County)]])</f>
        <v>42</v>
      </c>
      <c r="AE12" s="12" t="str">
        <f>Table1[[#This Row],[Please select your county]]</f>
        <v>Alameda County</v>
      </c>
      <c r="AF12" s="41">
        <f>COUNTIF(AE:AE,Table1[[#This Row],[County]])</f>
        <v>52</v>
      </c>
      <c r="AG12" s="12">
        <v>2025</v>
      </c>
    </row>
    <row r="13" spans="1:33" ht="15.5" x14ac:dyDescent="0.35">
      <c r="A13" s="12">
        <v>137</v>
      </c>
      <c r="B13" s="12" t="s">
        <v>98</v>
      </c>
      <c r="C13" s="12" t="s">
        <v>266</v>
      </c>
      <c r="D13" s="12"/>
      <c r="E13" s="12"/>
      <c r="F13" s="12"/>
      <c r="G13" s="12"/>
      <c r="H13" s="12"/>
      <c r="I13" s="12"/>
      <c r="J13" s="12"/>
      <c r="K13" s="10" t="s">
        <v>287</v>
      </c>
      <c r="L13" s="10"/>
      <c r="M13" s="10"/>
      <c r="N13" s="10"/>
      <c r="O13" s="12" t="s">
        <v>38</v>
      </c>
      <c r="P13" s="12">
        <v>450</v>
      </c>
      <c r="Q13" s="12" t="s">
        <v>281</v>
      </c>
      <c r="R13" s="12" t="s">
        <v>79</v>
      </c>
      <c r="S13" s="12" t="s">
        <v>272</v>
      </c>
      <c r="T13" s="12" t="s">
        <v>159</v>
      </c>
      <c r="U13" s="12" t="s">
        <v>160</v>
      </c>
      <c r="V13" s="12"/>
      <c r="W13" s="12"/>
      <c r="X13" s="12"/>
      <c r="Y13" s="12"/>
      <c r="Z13" s="12"/>
      <c r="AA13" s="12"/>
      <c r="AB13" s="12"/>
      <c r="AC13" s="12" t="str">
        <f>Table1[[#This Row],[City or Community (Alameda County)]]</f>
        <v>Pleasanton</v>
      </c>
      <c r="AD13" s="12">
        <f>COUNTIF(C:C,Table1[[#This Row],[City or Community (Alameda County)]])</f>
        <v>42</v>
      </c>
      <c r="AE13" s="12" t="str">
        <f>Table1[[#This Row],[Please select your county]]</f>
        <v>Alameda County</v>
      </c>
      <c r="AF13" s="41">
        <f>COUNTIF(AE:AE,Table1[[#This Row],[County]])</f>
        <v>52</v>
      </c>
      <c r="AG13" s="12">
        <v>2025</v>
      </c>
    </row>
    <row r="14" spans="1:33" ht="15.5" x14ac:dyDescent="0.35">
      <c r="A14" s="12">
        <v>373</v>
      </c>
      <c r="B14" s="12" t="s">
        <v>98</v>
      </c>
      <c r="C14" s="12" t="s">
        <v>266</v>
      </c>
      <c r="D14" s="12"/>
      <c r="E14" s="12"/>
      <c r="F14" s="12"/>
      <c r="G14" s="12"/>
      <c r="H14" s="12"/>
      <c r="I14" s="12"/>
      <c r="J14" s="12"/>
      <c r="K14" s="12" t="s">
        <v>274</v>
      </c>
      <c r="L14" s="12" t="s">
        <v>268</v>
      </c>
      <c r="M14" s="12" t="s">
        <v>269</v>
      </c>
      <c r="N14" s="12" t="s">
        <v>288</v>
      </c>
      <c r="O14" s="12" t="s">
        <v>38</v>
      </c>
      <c r="P14" s="12">
        <v>454</v>
      </c>
      <c r="Q14" s="12" t="s">
        <v>271</v>
      </c>
      <c r="R14" s="12" t="s">
        <v>79</v>
      </c>
      <c r="S14" s="12" t="s">
        <v>272</v>
      </c>
      <c r="T14" s="12" t="s">
        <v>159</v>
      </c>
      <c r="U14" s="12" t="s">
        <v>159</v>
      </c>
      <c r="V14" s="12" t="s">
        <v>164</v>
      </c>
      <c r="W14" s="12" t="s">
        <v>289</v>
      </c>
      <c r="X14" s="12"/>
      <c r="Y14" s="12" t="s">
        <v>290</v>
      </c>
      <c r="Z14" s="12"/>
      <c r="AA14" s="12" t="s">
        <v>291</v>
      </c>
      <c r="AB14" s="12" t="s">
        <v>190</v>
      </c>
      <c r="AC14" s="12" t="str">
        <f>Table1[[#This Row],[City or Community (Alameda County)]]</f>
        <v>Pleasanton</v>
      </c>
      <c r="AD14" s="12">
        <f>COUNTIF(C:C,Table1[[#This Row],[City or Community (Alameda County)]])</f>
        <v>42</v>
      </c>
      <c r="AE14" s="12" t="str">
        <f>Table1[[#This Row],[Please select your county]]</f>
        <v>Alameda County</v>
      </c>
      <c r="AF14" s="41">
        <f>COUNTIF(AE:AE,Table1[[#This Row],[County]])</f>
        <v>52</v>
      </c>
      <c r="AG14" s="12">
        <v>2025</v>
      </c>
    </row>
    <row r="15" spans="1:33" ht="31" x14ac:dyDescent="0.35">
      <c r="A15" s="12">
        <v>432</v>
      </c>
      <c r="B15" s="12" t="s">
        <v>98</v>
      </c>
      <c r="C15" s="12" t="s">
        <v>266</v>
      </c>
      <c r="D15" s="12"/>
      <c r="E15" s="12"/>
      <c r="F15" s="12"/>
      <c r="G15" s="12"/>
      <c r="H15" s="12"/>
      <c r="I15" s="12"/>
      <c r="J15" s="12"/>
      <c r="K15" s="10" t="s">
        <v>274</v>
      </c>
      <c r="L15" s="10" t="s">
        <v>277</v>
      </c>
      <c r="M15" s="10" t="s">
        <v>269</v>
      </c>
      <c r="N15" s="10" t="s">
        <v>278</v>
      </c>
      <c r="O15" s="12" t="s">
        <v>38</v>
      </c>
      <c r="P15" s="12">
        <v>466</v>
      </c>
      <c r="Q15" s="12" t="s">
        <v>281</v>
      </c>
      <c r="R15" s="12" t="s">
        <v>79</v>
      </c>
      <c r="S15" s="12" t="s">
        <v>276</v>
      </c>
      <c r="T15" s="12" t="s">
        <v>159</v>
      </c>
      <c r="U15" s="12" t="s">
        <v>160</v>
      </c>
      <c r="V15" s="12"/>
      <c r="W15" s="12"/>
      <c r="X15" s="12"/>
      <c r="Y15" s="12"/>
      <c r="Z15" s="12"/>
      <c r="AA15" s="12"/>
      <c r="AB15" s="12"/>
      <c r="AC15" s="12" t="str">
        <f>Table1[[#This Row],[City or Community (Alameda County)]]</f>
        <v>Pleasanton</v>
      </c>
      <c r="AD15" s="12">
        <f>COUNTIF(C:C,Table1[[#This Row],[City or Community (Alameda County)]])</f>
        <v>42</v>
      </c>
      <c r="AE15" s="12" t="str">
        <f>Table1[[#This Row],[Please select your county]]</f>
        <v>Alameda County</v>
      </c>
      <c r="AF15" s="41">
        <f>COUNTIF(AE:AE,Table1[[#This Row],[County]])</f>
        <v>52</v>
      </c>
      <c r="AG15" s="12">
        <v>2025</v>
      </c>
    </row>
    <row r="16" spans="1:33" ht="15.5" x14ac:dyDescent="0.35">
      <c r="A16" s="12">
        <v>106</v>
      </c>
      <c r="B16" s="12" t="s">
        <v>98</v>
      </c>
      <c r="C16" s="12" t="s">
        <v>266</v>
      </c>
      <c r="D16" s="12"/>
      <c r="E16" s="12"/>
      <c r="F16" s="12"/>
      <c r="G16" s="12"/>
      <c r="H16" s="12"/>
      <c r="I16" s="12"/>
      <c r="J16" s="12"/>
      <c r="K16" s="10" t="s">
        <v>274</v>
      </c>
      <c r="L16" s="10"/>
      <c r="M16" s="10"/>
      <c r="N16" s="10"/>
      <c r="O16" s="12" t="s">
        <v>38</v>
      </c>
      <c r="P16" s="12">
        <v>480</v>
      </c>
      <c r="Q16" s="12" t="s">
        <v>281</v>
      </c>
      <c r="R16" s="12" t="s">
        <v>79</v>
      </c>
      <c r="S16" s="12" t="s">
        <v>292</v>
      </c>
      <c r="T16" s="12" t="s">
        <v>159</v>
      </c>
      <c r="U16" s="12" t="s">
        <v>160</v>
      </c>
      <c r="V16" s="12"/>
      <c r="W16" s="12"/>
      <c r="X16" s="12"/>
      <c r="Y16" s="12"/>
      <c r="Z16" s="12"/>
      <c r="AA16" s="12"/>
      <c r="AB16" s="12"/>
      <c r="AC16" s="12" t="str">
        <f>Table1[[#This Row],[City or Community (Alameda County)]]</f>
        <v>Pleasanton</v>
      </c>
      <c r="AD16" s="12">
        <f>COUNTIF(C:C,Table1[[#This Row],[City or Community (Alameda County)]])</f>
        <v>42</v>
      </c>
      <c r="AE16" s="12" t="str">
        <f>Table1[[#This Row],[Please select your county]]</f>
        <v>Alameda County</v>
      </c>
      <c r="AF16" s="41">
        <f>COUNTIF(AE:AE,Table1[[#This Row],[County]])</f>
        <v>52</v>
      </c>
      <c r="AG16" s="12">
        <v>2025</v>
      </c>
    </row>
    <row r="17" spans="1:33" ht="31" x14ac:dyDescent="0.35">
      <c r="A17" s="12">
        <v>291</v>
      </c>
      <c r="B17" s="12" t="s">
        <v>98</v>
      </c>
      <c r="C17" s="12" t="s">
        <v>266</v>
      </c>
      <c r="D17" s="12"/>
      <c r="E17" s="12"/>
      <c r="F17" s="12"/>
      <c r="G17" s="12"/>
      <c r="H17" s="12"/>
      <c r="I17" s="12"/>
      <c r="J17" s="12"/>
      <c r="K17" s="10" t="s">
        <v>293</v>
      </c>
      <c r="L17" s="10"/>
      <c r="M17" s="10"/>
      <c r="N17" s="10"/>
      <c r="O17" s="12" t="s">
        <v>38</v>
      </c>
      <c r="P17" s="12">
        <v>490</v>
      </c>
      <c r="Q17" s="12" t="s">
        <v>271</v>
      </c>
      <c r="R17" s="12" t="s">
        <v>67</v>
      </c>
      <c r="S17" s="12" t="s">
        <v>276</v>
      </c>
      <c r="T17" s="12" t="s">
        <v>159</v>
      </c>
      <c r="U17" s="12" t="s">
        <v>160</v>
      </c>
      <c r="V17" s="12"/>
      <c r="W17" s="12"/>
      <c r="X17" s="12"/>
      <c r="Y17" s="12"/>
      <c r="Z17" s="12"/>
      <c r="AA17" s="12"/>
      <c r="AB17" s="12"/>
      <c r="AC17" s="12" t="str">
        <f>Table1[[#This Row],[City or Community (Alameda County)]]</f>
        <v>Pleasanton</v>
      </c>
      <c r="AD17" s="12">
        <f>COUNTIF(C:C,Table1[[#This Row],[City or Community (Alameda County)]])</f>
        <v>42</v>
      </c>
      <c r="AE17" s="12" t="str">
        <f>Table1[[#This Row],[Please select your county]]</f>
        <v>Alameda County</v>
      </c>
      <c r="AF17" s="41">
        <f>COUNTIF(AE:AE,Table1[[#This Row],[County]])</f>
        <v>52</v>
      </c>
      <c r="AG17" s="12">
        <v>2025</v>
      </c>
    </row>
    <row r="18" spans="1:33" ht="31" x14ac:dyDescent="0.35">
      <c r="A18" s="12">
        <v>387</v>
      </c>
      <c r="B18" s="12" t="s">
        <v>98</v>
      </c>
      <c r="C18" s="12" t="s">
        <v>266</v>
      </c>
      <c r="D18" s="12"/>
      <c r="E18" s="12"/>
      <c r="F18" s="12"/>
      <c r="G18" s="12"/>
      <c r="H18" s="12"/>
      <c r="I18" s="12"/>
      <c r="J18" s="12"/>
      <c r="K18" s="10" t="s">
        <v>274</v>
      </c>
      <c r="L18" s="10" t="s">
        <v>277</v>
      </c>
      <c r="M18" s="10" t="s">
        <v>269</v>
      </c>
      <c r="N18" s="10" t="s">
        <v>280</v>
      </c>
      <c r="O18" s="12" t="s">
        <v>38</v>
      </c>
      <c r="P18" s="12">
        <v>496</v>
      </c>
      <c r="Q18" s="12" t="s">
        <v>281</v>
      </c>
      <c r="R18" s="12" t="s">
        <v>165</v>
      </c>
      <c r="S18" s="12" t="s">
        <v>276</v>
      </c>
      <c r="T18" s="12" t="s">
        <v>159</v>
      </c>
      <c r="U18" s="12" t="s">
        <v>160</v>
      </c>
      <c r="V18" s="12"/>
      <c r="W18" s="12"/>
      <c r="X18" s="12"/>
      <c r="Y18" s="12"/>
      <c r="Z18" s="12"/>
      <c r="AA18" s="12"/>
      <c r="AB18" s="12"/>
      <c r="AC18" s="12" t="str">
        <f>Table1[[#This Row],[City or Community (Alameda County)]]</f>
        <v>Pleasanton</v>
      </c>
      <c r="AD18" s="12">
        <f>COUNTIF(C:C,Table1[[#This Row],[City or Community (Alameda County)]])</f>
        <v>42</v>
      </c>
      <c r="AE18" s="12" t="str">
        <f>Table1[[#This Row],[Please select your county]]</f>
        <v>Alameda County</v>
      </c>
      <c r="AF18" s="41">
        <f>COUNTIF(AE:AE,Table1[[#This Row],[County]])</f>
        <v>52</v>
      </c>
      <c r="AG18" s="12">
        <v>2025</v>
      </c>
    </row>
    <row r="19" spans="1:33" ht="31" x14ac:dyDescent="0.35">
      <c r="A19" s="12">
        <v>570</v>
      </c>
      <c r="B19" s="12" t="s">
        <v>98</v>
      </c>
      <c r="C19" s="12" t="s">
        <v>266</v>
      </c>
      <c r="D19" s="12"/>
      <c r="E19" s="12"/>
      <c r="F19" s="12"/>
      <c r="G19" s="12"/>
      <c r="H19" s="12"/>
      <c r="I19" s="12"/>
      <c r="J19" s="12"/>
      <c r="K19" s="10" t="s">
        <v>294</v>
      </c>
      <c r="L19" s="10" t="s">
        <v>279</v>
      </c>
      <c r="M19" s="10" t="s">
        <v>269</v>
      </c>
      <c r="N19" s="10" t="s">
        <v>278</v>
      </c>
      <c r="O19" s="12" t="s">
        <v>38</v>
      </c>
      <c r="P19" s="12">
        <v>500</v>
      </c>
      <c r="Q19" s="12" t="s">
        <v>295</v>
      </c>
      <c r="R19" s="12" t="s">
        <v>79</v>
      </c>
      <c r="S19" s="12" t="s">
        <v>272</v>
      </c>
      <c r="T19" s="12" t="s">
        <v>159</v>
      </c>
      <c r="U19" s="12" t="s">
        <v>160</v>
      </c>
      <c r="V19" s="12"/>
      <c r="W19" s="12"/>
      <c r="X19" s="12"/>
      <c r="Y19" s="12"/>
      <c r="Z19" s="12"/>
      <c r="AA19" s="12"/>
      <c r="AB19" s="12"/>
      <c r="AC19" s="12" t="str">
        <f>Table1[[#This Row],[City or Community (Alameda County)]]</f>
        <v>Pleasanton</v>
      </c>
      <c r="AD19" s="12">
        <f>COUNTIF(C:C,Table1[[#This Row],[City or Community (Alameda County)]])</f>
        <v>42</v>
      </c>
      <c r="AE19" s="12" t="str">
        <f>Table1[[#This Row],[Please select your county]]</f>
        <v>Alameda County</v>
      </c>
      <c r="AF19" s="41">
        <f>COUNTIF(AE:AE,Table1[[#This Row],[County]])</f>
        <v>52</v>
      </c>
      <c r="AG19" s="12">
        <v>2025</v>
      </c>
    </row>
    <row r="20" spans="1:33" ht="15.5" x14ac:dyDescent="0.35">
      <c r="A20" s="12">
        <v>412</v>
      </c>
      <c r="B20" s="12" t="s">
        <v>98</v>
      </c>
      <c r="C20" s="12" t="s">
        <v>266</v>
      </c>
      <c r="D20" s="12"/>
      <c r="E20" s="12"/>
      <c r="F20" s="12"/>
      <c r="G20" s="12"/>
      <c r="H20" s="12"/>
      <c r="I20" s="12"/>
      <c r="J20" s="12"/>
      <c r="K20" s="12" t="s">
        <v>274</v>
      </c>
      <c r="L20" s="12" t="s">
        <v>279</v>
      </c>
      <c r="M20" s="12" t="s">
        <v>269</v>
      </c>
      <c r="N20" s="12" t="s">
        <v>280</v>
      </c>
      <c r="O20" s="12" t="s">
        <v>38</v>
      </c>
      <c r="P20" s="12">
        <v>600</v>
      </c>
      <c r="Q20" s="12" t="s">
        <v>281</v>
      </c>
      <c r="R20" s="12" t="s">
        <v>69</v>
      </c>
      <c r="S20" s="12" t="s">
        <v>276</v>
      </c>
      <c r="T20" s="12" t="s">
        <v>159</v>
      </c>
      <c r="U20" s="12" t="s">
        <v>160</v>
      </c>
      <c r="V20" s="12"/>
      <c r="W20" s="12"/>
      <c r="X20" s="12"/>
      <c r="Y20" s="12"/>
      <c r="Z20" s="12"/>
      <c r="AA20" s="12"/>
      <c r="AB20" s="12"/>
      <c r="AC20" s="12" t="str">
        <f>Table1[[#This Row],[City or Community (Alameda County)]]</f>
        <v>Pleasanton</v>
      </c>
      <c r="AD20" s="12">
        <f>COUNTIF(C:C,Table1[[#This Row],[City or Community (Alameda County)]])</f>
        <v>42</v>
      </c>
      <c r="AE20" s="12" t="str">
        <f>Table1[[#This Row],[Please select your county]]</f>
        <v>Alameda County</v>
      </c>
      <c r="AF20" s="41">
        <f>COUNTIF(AE:AE,Table1[[#This Row],[County]])</f>
        <v>52</v>
      </c>
      <c r="AG20" s="12">
        <v>2025</v>
      </c>
    </row>
    <row r="21" spans="1:33" ht="15.5" x14ac:dyDescent="0.35">
      <c r="A21" s="12">
        <v>125</v>
      </c>
      <c r="B21" s="12" t="s">
        <v>98</v>
      </c>
      <c r="C21" s="12" t="s">
        <v>266</v>
      </c>
      <c r="D21" s="12"/>
      <c r="E21" s="12"/>
      <c r="F21" s="12"/>
      <c r="G21" s="12"/>
      <c r="H21" s="12"/>
      <c r="I21" s="12"/>
      <c r="J21" s="12"/>
      <c r="K21" s="10" t="s">
        <v>274</v>
      </c>
      <c r="L21" s="10"/>
      <c r="M21" s="10"/>
      <c r="N21" s="10"/>
      <c r="O21" s="12" t="s">
        <v>38</v>
      </c>
      <c r="P21" s="12">
        <v>600</v>
      </c>
      <c r="Q21" s="12" t="s">
        <v>281</v>
      </c>
      <c r="R21" s="12" t="s">
        <v>79</v>
      </c>
      <c r="S21" s="12" t="s">
        <v>292</v>
      </c>
      <c r="T21" s="12" t="s">
        <v>159</v>
      </c>
      <c r="U21" s="12" t="s">
        <v>160</v>
      </c>
      <c r="V21" s="12"/>
      <c r="W21" s="12"/>
      <c r="X21" s="12"/>
      <c r="Y21" s="12"/>
      <c r="Z21" s="12"/>
      <c r="AA21" s="12"/>
      <c r="AB21" s="12"/>
      <c r="AC21" s="12" t="str">
        <f>Table1[[#This Row],[City or Community (Alameda County)]]</f>
        <v>Pleasanton</v>
      </c>
      <c r="AD21" s="12">
        <f>COUNTIF(C:C,Table1[[#This Row],[City or Community (Alameda County)]])</f>
        <v>42</v>
      </c>
      <c r="AE21" s="12" t="str">
        <f>Table1[[#This Row],[Please select your county]]</f>
        <v>Alameda County</v>
      </c>
      <c r="AF21" s="41">
        <f>COUNTIF(AE:AE,Table1[[#This Row],[County]])</f>
        <v>52</v>
      </c>
      <c r="AG21" s="12">
        <v>2025</v>
      </c>
    </row>
    <row r="22" spans="1:33" ht="31" x14ac:dyDescent="0.35">
      <c r="A22" s="12">
        <v>477</v>
      </c>
      <c r="B22" s="12" t="s">
        <v>98</v>
      </c>
      <c r="C22" s="12" t="s">
        <v>266</v>
      </c>
      <c r="D22" s="12"/>
      <c r="E22" s="12"/>
      <c r="F22" s="12"/>
      <c r="G22" s="12"/>
      <c r="H22" s="12"/>
      <c r="I22" s="12"/>
      <c r="J22" s="12"/>
      <c r="K22" s="10" t="s">
        <v>273</v>
      </c>
      <c r="L22" s="10" t="s">
        <v>279</v>
      </c>
      <c r="M22" s="10" t="s">
        <v>269</v>
      </c>
      <c r="N22" s="10" t="s">
        <v>280</v>
      </c>
      <c r="O22" s="12" t="s">
        <v>39</v>
      </c>
      <c r="P22" s="12">
        <v>600</v>
      </c>
      <c r="Q22" s="12" t="s">
        <v>281</v>
      </c>
      <c r="R22" s="12" t="s">
        <v>76</v>
      </c>
      <c r="S22" s="12" t="s">
        <v>276</v>
      </c>
      <c r="T22" s="12" t="s">
        <v>159</v>
      </c>
      <c r="U22" s="12" t="s">
        <v>160</v>
      </c>
      <c r="V22" s="12"/>
      <c r="W22" s="12"/>
      <c r="X22" s="12"/>
      <c r="Y22" s="12"/>
      <c r="Z22" s="12"/>
      <c r="AA22" s="12"/>
      <c r="AB22" s="12"/>
      <c r="AC22" s="12" t="str">
        <f>Table1[[#This Row],[City or Community (Alameda County)]]</f>
        <v>Pleasanton</v>
      </c>
      <c r="AD22" s="12">
        <f>COUNTIF(C:C,Table1[[#This Row],[City or Community (Alameda County)]])</f>
        <v>42</v>
      </c>
      <c r="AE22" s="12" t="str">
        <f>Table1[[#This Row],[Please select your county]]</f>
        <v>Alameda County</v>
      </c>
      <c r="AF22" s="41">
        <f>COUNTIF(AE:AE,Table1[[#This Row],[County]])</f>
        <v>52</v>
      </c>
      <c r="AG22" s="12">
        <v>2025</v>
      </c>
    </row>
    <row r="23" spans="1:33" ht="15.5" x14ac:dyDescent="0.35">
      <c r="A23" s="12">
        <v>104</v>
      </c>
      <c r="B23" s="12" t="s">
        <v>98</v>
      </c>
      <c r="C23" s="12" t="s">
        <v>266</v>
      </c>
      <c r="D23" s="12"/>
      <c r="E23" s="12"/>
      <c r="F23" s="12"/>
      <c r="G23" s="12"/>
      <c r="H23" s="12"/>
      <c r="I23" s="12"/>
      <c r="J23" s="12"/>
      <c r="K23" s="10" t="s">
        <v>274</v>
      </c>
      <c r="L23" s="10"/>
      <c r="M23" s="10"/>
      <c r="N23" s="10"/>
      <c r="O23" s="12" t="s">
        <v>38</v>
      </c>
      <c r="P23" s="12">
        <v>615</v>
      </c>
      <c r="Q23" s="12" t="s">
        <v>281</v>
      </c>
      <c r="R23" s="12" t="s">
        <v>79</v>
      </c>
      <c r="S23" s="12" t="s">
        <v>292</v>
      </c>
      <c r="T23" s="12" t="s">
        <v>159</v>
      </c>
      <c r="U23" s="12" t="s">
        <v>160</v>
      </c>
      <c r="V23" s="12"/>
      <c r="W23" s="12"/>
      <c r="X23" s="12"/>
      <c r="Y23" s="12"/>
      <c r="Z23" s="12"/>
      <c r="AA23" s="12"/>
      <c r="AB23" s="12"/>
      <c r="AC23" s="12" t="str">
        <f>Table1[[#This Row],[City or Community (Alameda County)]]</f>
        <v>Pleasanton</v>
      </c>
      <c r="AD23" s="12">
        <f>COUNTIF(C:C,Table1[[#This Row],[City or Community (Alameda County)]])</f>
        <v>42</v>
      </c>
      <c r="AE23" s="12" t="str">
        <f>Table1[[#This Row],[Please select your county]]</f>
        <v>Alameda County</v>
      </c>
      <c r="AF23" s="41">
        <f>COUNTIF(AE:AE,Table1[[#This Row],[County]])</f>
        <v>52</v>
      </c>
      <c r="AG23" s="12">
        <v>2025</v>
      </c>
    </row>
    <row r="24" spans="1:33" ht="31" x14ac:dyDescent="0.35">
      <c r="A24" s="12">
        <v>427</v>
      </c>
      <c r="B24" s="12" t="s">
        <v>98</v>
      </c>
      <c r="C24" s="12" t="s">
        <v>266</v>
      </c>
      <c r="D24" s="12"/>
      <c r="E24" s="12"/>
      <c r="F24" s="12"/>
      <c r="G24" s="12"/>
      <c r="H24" s="12"/>
      <c r="I24" s="12"/>
      <c r="J24" s="12"/>
      <c r="K24" s="10" t="s">
        <v>273</v>
      </c>
      <c r="L24" s="10" t="s">
        <v>279</v>
      </c>
      <c r="M24" s="10" t="s">
        <v>269</v>
      </c>
      <c r="N24" s="10" t="s">
        <v>280</v>
      </c>
      <c r="O24" s="12" t="s">
        <v>39</v>
      </c>
      <c r="P24" s="12">
        <v>650</v>
      </c>
      <c r="Q24" s="12" t="s">
        <v>271</v>
      </c>
      <c r="R24" s="12" t="s">
        <v>76</v>
      </c>
      <c r="S24" s="12" t="s">
        <v>276</v>
      </c>
      <c r="T24" s="12" t="s">
        <v>159</v>
      </c>
      <c r="U24" s="12" t="s">
        <v>160</v>
      </c>
      <c r="V24" s="12"/>
      <c r="W24" s="12"/>
      <c r="X24" s="12"/>
      <c r="Y24" s="12"/>
      <c r="Z24" s="12"/>
      <c r="AA24" s="12"/>
      <c r="AB24" s="12"/>
      <c r="AC24" s="12" t="str">
        <f>Table1[[#This Row],[City or Community (Alameda County)]]</f>
        <v>Pleasanton</v>
      </c>
      <c r="AD24" s="12">
        <f>COUNTIF(C:C,Table1[[#This Row],[City or Community (Alameda County)]])</f>
        <v>42</v>
      </c>
      <c r="AE24" s="12" t="str">
        <f>Table1[[#This Row],[Please select your county]]</f>
        <v>Alameda County</v>
      </c>
      <c r="AF24" s="41">
        <f>COUNTIF(AE:AE,Table1[[#This Row],[County]])</f>
        <v>52</v>
      </c>
      <c r="AG24" s="12">
        <v>2025</v>
      </c>
    </row>
    <row r="25" spans="1:33" ht="15.5" x14ac:dyDescent="0.35">
      <c r="A25" s="12">
        <v>103</v>
      </c>
      <c r="B25" s="12" t="s">
        <v>98</v>
      </c>
      <c r="C25" s="12" t="s">
        <v>266</v>
      </c>
      <c r="D25" s="12"/>
      <c r="E25" s="12"/>
      <c r="F25" s="12"/>
      <c r="G25" s="12"/>
      <c r="H25" s="12"/>
      <c r="I25" s="12"/>
      <c r="J25" s="12"/>
      <c r="K25" s="10" t="s">
        <v>267</v>
      </c>
      <c r="L25" s="10"/>
      <c r="M25" s="10"/>
      <c r="N25" s="10"/>
      <c r="O25" s="12" t="s">
        <v>38</v>
      </c>
      <c r="P25" s="12">
        <v>660</v>
      </c>
      <c r="Q25" s="12" t="s">
        <v>281</v>
      </c>
      <c r="R25" s="12" t="s">
        <v>68</v>
      </c>
      <c r="S25" s="12" t="s">
        <v>292</v>
      </c>
      <c r="T25" s="12" t="s">
        <v>159</v>
      </c>
      <c r="U25" s="12" t="s">
        <v>160</v>
      </c>
      <c r="V25" s="12"/>
      <c r="W25" s="12"/>
      <c r="X25" s="12"/>
      <c r="Y25" s="12"/>
      <c r="Z25" s="12"/>
      <c r="AA25" s="12"/>
      <c r="AB25" s="12"/>
      <c r="AC25" s="12" t="str">
        <f>Table1[[#This Row],[City or Community (Alameda County)]]</f>
        <v>Pleasanton</v>
      </c>
      <c r="AD25" s="12">
        <f>COUNTIF(C:C,Table1[[#This Row],[City or Community (Alameda County)]])</f>
        <v>42</v>
      </c>
      <c r="AE25" s="12" t="str">
        <f>Table1[[#This Row],[Please select your county]]</f>
        <v>Alameda County</v>
      </c>
      <c r="AF25" s="41">
        <f>COUNTIF(AE:AE,Table1[[#This Row],[County]])</f>
        <v>52</v>
      </c>
      <c r="AG25" s="12">
        <v>2025</v>
      </c>
    </row>
    <row r="26" spans="1:33" ht="15.5" x14ac:dyDescent="0.35">
      <c r="A26" s="12">
        <v>140</v>
      </c>
      <c r="B26" s="12" t="s">
        <v>98</v>
      </c>
      <c r="C26" s="12" t="s">
        <v>266</v>
      </c>
      <c r="D26" s="12"/>
      <c r="E26" s="12"/>
      <c r="F26" s="12"/>
      <c r="G26" s="12"/>
      <c r="H26" s="12"/>
      <c r="I26" s="12"/>
      <c r="J26" s="12"/>
      <c r="K26" s="10" t="s">
        <v>274</v>
      </c>
      <c r="L26" s="10"/>
      <c r="M26" s="10"/>
      <c r="N26" s="10"/>
      <c r="O26" s="12" t="s">
        <v>38</v>
      </c>
      <c r="P26" s="12">
        <v>677</v>
      </c>
      <c r="Q26" s="12" t="s">
        <v>281</v>
      </c>
      <c r="R26" s="12" t="s">
        <v>79</v>
      </c>
      <c r="S26" s="12" t="s">
        <v>272</v>
      </c>
      <c r="T26" s="12" t="s">
        <v>159</v>
      </c>
      <c r="U26" s="12" t="s">
        <v>160</v>
      </c>
      <c r="V26" s="12"/>
      <c r="W26" s="12"/>
      <c r="X26" s="12"/>
      <c r="Y26" s="12"/>
      <c r="Z26" s="12"/>
      <c r="AA26" s="12"/>
      <c r="AB26" s="12"/>
      <c r="AC26" s="12" t="str">
        <f>Table1[[#This Row],[City or Community (Alameda County)]]</f>
        <v>Pleasanton</v>
      </c>
      <c r="AD26" s="12">
        <f>COUNTIF(C:C,Table1[[#This Row],[City or Community (Alameda County)]])</f>
        <v>42</v>
      </c>
      <c r="AE26" s="12" t="str">
        <f>Table1[[#This Row],[Please select your county]]</f>
        <v>Alameda County</v>
      </c>
      <c r="AF26" s="41">
        <f>COUNTIF(AE:AE,Table1[[#This Row],[County]])</f>
        <v>52</v>
      </c>
      <c r="AG26" s="12">
        <v>2025</v>
      </c>
    </row>
    <row r="27" spans="1:33" ht="15.5" x14ac:dyDescent="0.35">
      <c r="A27" s="12">
        <v>422</v>
      </c>
      <c r="B27" s="12" t="s">
        <v>98</v>
      </c>
      <c r="C27" s="12" t="s">
        <v>266</v>
      </c>
      <c r="D27" s="12"/>
      <c r="E27" s="12"/>
      <c r="F27" s="12"/>
      <c r="G27" s="12"/>
      <c r="H27" s="12"/>
      <c r="I27" s="12"/>
      <c r="J27" s="12"/>
      <c r="K27" s="12" t="s">
        <v>296</v>
      </c>
      <c r="L27" s="12" t="s">
        <v>279</v>
      </c>
      <c r="M27" s="12" t="s">
        <v>269</v>
      </c>
      <c r="N27" s="12" t="s">
        <v>280</v>
      </c>
      <c r="O27" s="12" t="s">
        <v>38</v>
      </c>
      <c r="P27" s="12">
        <v>680</v>
      </c>
      <c r="Q27" s="12" t="s">
        <v>295</v>
      </c>
      <c r="R27" s="12" t="s">
        <v>70</v>
      </c>
      <c r="S27" s="12" t="s">
        <v>297</v>
      </c>
      <c r="T27" s="12" t="s">
        <v>159</v>
      </c>
      <c r="U27" s="12" t="s">
        <v>160</v>
      </c>
      <c r="V27" s="12"/>
      <c r="W27" s="12"/>
      <c r="X27" s="12"/>
      <c r="Y27" s="12"/>
      <c r="Z27" s="12"/>
      <c r="AA27" s="12"/>
      <c r="AB27" s="12"/>
      <c r="AC27" s="12" t="str">
        <f>Table1[[#This Row],[City or Community (Alameda County)]]</f>
        <v>Pleasanton</v>
      </c>
      <c r="AD27" s="12">
        <f>COUNTIF(C:C,Table1[[#This Row],[City or Community (Alameda County)]])</f>
        <v>42</v>
      </c>
      <c r="AE27" s="12" t="str">
        <f>Table1[[#This Row],[Please select your county]]</f>
        <v>Alameda County</v>
      </c>
      <c r="AF27" s="41">
        <f>COUNTIF(AE:AE,Table1[[#This Row],[County]])</f>
        <v>52</v>
      </c>
      <c r="AG27" s="12">
        <v>2025</v>
      </c>
    </row>
    <row r="28" spans="1:33" ht="15.5" x14ac:dyDescent="0.35">
      <c r="A28" s="12">
        <v>577</v>
      </c>
      <c r="B28" s="12" t="s">
        <v>98</v>
      </c>
      <c r="C28" s="12" t="s">
        <v>266</v>
      </c>
      <c r="D28" s="12"/>
      <c r="E28" s="12"/>
      <c r="F28" s="12"/>
      <c r="G28" s="12"/>
      <c r="H28" s="12"/>
      <c r="I28" s="12"/>
      <c r="J28" s="12"/>
      <c r="K28" s="10" t="s">
        <v>274</v>
      </c>
      <c r="L28" s="10" t="s">
        <v>277</v>
      </c>
      <c r="M28" s="10" t="s">
        <v>269</v>
      </c>
      <c r="N28" s="10" t="s">
        <v>288</v>
      </c>
      <c r="O28" s="12" t="s">
        <v>38</v>
      </c>
      <c r="P28" s="12">
        <v>700</v>
      </c>
      <c r="Q28" s="12" t="s">
        <v>295</v>
      </c>
      <c r="R28" s="12" t="s">
        <v>73</v>
      </c>
      <c r="S28" s="12" t="s">
        <v>276</v>
      </c>
      <c r="T28" s="12" t="s">
        <v>159</v>
      </c>
      <c r="U28" s="12" t="s">
        <v>160</v>
      </c>
      <c r="V28" s="12"/>
      <c r="W28" s="12"/>
      <c r="X28" s="12"/>
      <c r="Y28" s="12"/>
      <c r="Z28" s="12"/>
      <c r="AA28" s="12"/>
      <c r="AB28" s="12"/>
      <c r="AC28" s="12" t="str">
        <f>Table1[[#This Row],[City or Community (Alameda County)]]</f>
        <v>Pleasanton</v>
      </c>
      <c r="AD28" s="12">
        <f>COUNTIF(C:C,Table1[[#This Row],[City or Community (Alameda County)]])</f>
        <v>42</v>
      </c>
      <c r="AE28" s="12" t="str">
        <f>Table1[[#This Row],[Please select your county]]</f>
        <v>Alameda County</v>
      </c>
      <c r="AF28" s="41">
        <f>COUNTIF(AE:AE,Table1[[#This Row],[County]])</f>
        <v>52</v>
      </c>
      <c r="AG28" s="12">
        <v>2025</v>
      </c>
    </row>
    <row r="29" spans="1:33" ht="15.5" x14ac:dyDescent="0.35">
      <c r="A29" s="12">
        <v>92</v>
      </c>
      <c r="B29" s="12" t="s">
        <v>98</v>
      </c>
      <c r="C29" s="12" t="s">
        <v>266</v>
      </c>
      <c r="D29" s="12"/>
      <c r="E29" s="12"/>
      <c r="F29" s="12"/>
      <c r="G29" s="12"/>
      <c r="H29" s="12"/>
      <c r="I29" s="12"/>
      <c r="J29" s="12"/>
      <c r="K29" s="10" t="s">
        <v>267</v>
      </c>
      <c r="L29" s="10"/>
      <c r="M29" s="10"/>
      <c r="N29" s="10"/>
      <c r="O29" s="12" t="s">
        <v>38</v>
      </c>
      <c r="P29" s="12">
        <v>724</v>
      </c>
      <c r="Q29" s="12" t="s">
        <v>295</v>
      </c>
      <c r="R29" s="12" t="s">
        <v>69</v>
      </c>
      <c r="S29" s="12" t="s">
        <v>298</v>
      </c>
      <c r="T29" s="12" t="s">
        <v>159</v>
      </c>
      <c r="U29" s="12" t="s">
        <v>160</v>
      </c>
      <c r="V29" s="12"/>
      <c r="W29" s="12"/>
      <c r="X29" s="12"/>
      <c r="Y29" s="12"/>
      <c r="Z29" s="12"/>
      <c r="AA29" s="12"/>
      <c r="AB29" s="12"/>
      <c r="AC29" s="12" t="str">
        <f>Table1[[#This Row],[City or Community (Alameda County)]]</f>
        <v>Pleasanton</v>
      </c>
      <c r="AD29" s="12">
        <f>COUNTIF(C:C,Table1[[#This Row],[City or Community (Alameda County)]])</f>
        <v>42</v>
      </c>
      <c r="AE29" s="12" t="str">
        <f>Table1[[#This Row],[Please select your county]]</f>
        <v>Alameda County</v>
      </c>
      <c r="AF29" s="41">
        <f>COUNTIF(AE:AE,Table1[[#This Row],[County]])</f>
        <v>52</v>
      </c>
      <c r="AG29" s="12">
        <v>2025</v>
      </c>
    </row>
    <row r="30" spans="1:33" ht="31" x14ac:dyDescent="0.35">
      <c r="A30" s="12">
        <v>435</v>
      </c>
      <c r="B30" s="12" t="s">
        <v>98</v>
      </c>
      <c r="C30" s="12" t="s">
        <v>266</v>
      </c>
      <c r="D30" s="12"/>
      <c r="E30" s="12"/>
      <c r="F30" s="12"/>
      <c r="G30" s="12"/>
      <c r="H30" s="12"/>
      <c r="I30" s="12"/>
      <c r="J30" s="12"/>
      <c r="K30" s="10" t="s">
        <v>274</v>
      </c>
      <c r="L30" s="10" t="s">
        <v>277</v>
      </c>
      <c r="M30" s="10" t="s">
        <v>269</v>
      </c>
      <c r="N30" s="10" t="s">
        <v>280</v>
      </c>
      <c r="O30" s="12" t="s">
        <v>38</v>
      </c>
      <c r="P30" s="12">
        <v>734</v>
      </c>
      <c r="Q30" s="12" t="s">
        <v>281</v>
      </c>
      <c r="R30" s="12" t="s">
        <v>79</v>
      </c>
      <c r="S30" s="12" t="s">
        <v>276</v>
      </c>
      <c r="T30" s="12" t="s">
        <v>159</v>
      </c>
      <c r="U30" s="12" t="s">
        <v>160</v>
      </c>
      <c r="V30" s="12"/>
      <c r="W30" s="12"/>
      <c r="X30" s="12"/>
      <c r="Y30" s="12"/>
      <c r="Z30" s="12"/>
      <c r="AA30" s="12"/>
      <c r="AB30" s="12"/>
      <c r="AC30" s="12" t="str">
        <f>Table1[[#This Row],[City or Community (Alameda County)]]</f>
        <v>Pleasanton</v>
      </c>
      <c r="AD30" s="12">
        <f>COUNTIF(C:C,Table1[[#This Row],[City or Community (Alameda County)]])</f>
        <v>42</v>
      </c>
      <c r="AE30" s="12" t="str">
        <f>Table1[[#This Row],[Please select your county]]</f>
        <v>Alameda County</v>
      </c>
      <c r="AF30" s="41">
        <f>COUNTIF(AE:AE,Table1[[#This Row],[County]])</f>
        <v>52</v>
      </c>
      <c r="AG30" s="12">
        <v>2025</v>
      </c>
    </row>
    <row r="31" spans="1:33" ht="31" x14ac:dyDescent="0.35">
      <c r="A31" s="12">
        <v>400</v>
      </c>
      <c r="B31" s="12" t="s">
        <v>98</v>
      </c>
      <c r="C31" s="12" t="s">
        <v>266</v>
      </c>
      <c r="D31" s="12"/>
      <c r="E31" s="12"/>
      <c r="F31" s="12"/>
      <c r="G31" s="12"/>
      <c r="H31" s="12"/>
      <c r="I31" s="12"/>
      <c r="J31" s="12"/>
      <c r="K31" s="10" t="s">
        <v>274</v>
      </c>
      <c r="L31" s="10" t="s">
        <v>279</v>
      </c>
      <c r="M31" s="10" t="s">
        <v>269</v>
      </c>
      <c r="N31" s="10" t="s">
        <v>280</v>
      </c>
      <c r="O31" s="12" t="s">
        <v>38</v>
      </c>
      <c r="P31" s="12">
        <v>740</v>
      </c>
      <c r="Q31" s="12" t="s">
        <v>281</v>
      </c>
      <c r="R31" s="12" t="s">
        <v>69</v>
      </c>
      <c r="S31" s="12" t="s">
        <v>276</v>
      </c>
      <c r="T31" s="12" t="s">
        <v>160</v>
      </c>
      <c r="U31" s="12" t="s">
        <v>160</v>
      </c>
      <c r="V31" s="12"/>
      <c r="W31" s="12"/>
      <c r="X31" s="12"/>
      <c r="Y31" s="12"/>
      <c r="Z31" s="12"/>
      <c r="AA31" s="12"/>
      <c r="AB31" s="12"/>
      <c r="AC31" s="12" t="str">
        <f>Table1[[#This Row],[City or Community (Alameda County)]]</f>
        <v>Pleasanton</v>
      </c>
      <c r="AD31" s="12">
        <f>COUNTIF(C:C,Table1[[#This Row],[City or Community (Alameda County)]])</f>
        <v>42</v>
      </c>
      <c r="AE31" s="12" t="str">
        <f>Table1[[#This Row],[Please select your county]]</f>
        <v>Alameda County</v>
      </c>
      <c r="AF31" s="41">
        <f>COUNTIF(AE:AE,Table1[[#This Row],[County]])</f>
        <v>52</v>
      </c>
      <c r="AG31" s="12">
        <v>2025</v>
      </c>
    </row>
    <row r="32" spans="1:33" ht="15.5" x14ac:dyDescent="0.35">
      <c r="A32" s="12">
        <v>457</v>
      </c>
      <c r="B32" s="12" t="s">
        <v>98</v>
      </c>
      <c r="C32" s="12" t="s">
        <v>266</v>
      </c>
      <c r="D32" s="12"/>
      <c r="E32" s="12"/>
      <c r="F32" s="12"/>
      <c r="G32" s="12"/>
      <c r="H32" s="12"/>
      <c r="I32" s="12"/>
      <c r="J32" s="12"/>
      <c r="K32" s="12" t="s">
        <v>274</v>
      </c>
      <c r="L32" s="12" t="s">
        <v>277</v>
      </c>
      <c r="M32" s="12" t="s">
        <v>269</v>
      </c>
      <c r="N32" s="12" t="s">
        <v>288</v>
      </c>
      <c r="O32" s="12" t="s">
        <v>38</v>
      </c>
      <c r="P32" s="12">
        <v>746</v>
      </c>
      <c r="Q32" s="12" t="s">
        <v>281</v>
      </c>
      <c r="R32" s="12" t="s">
        <v>79</v>
      </c>
      <c r="S32" s="12" t="s">
        <v>272</v>
      </c>
      <c r="T32" s="12" t="s">
        <v>159</v>
      </c>
      <c r="U32" s="12" t="s">
        <v>160</v>
      </c>
      <c r="V32" s="12"/>
      <c r="W32" s="12"/>
      <c r="X32" s="12"/>
      <c r="Y32" s="12"/>
      <c r="Z32" s="12"/>
      <c r="AA32" s="12"/>
      <c r="AB32" s="12"/>
      <c r="AC32" s="12" t="str">
        <f>Table1[[#This Row],[City or Community (Alameda County)]]</f>
        <v>Pleasanton</v>
      </c>
      <c r="AD32" s="12">
        <f>COUNTIF(C:C,Table1[[#This Row],[City or Community (Alameda County)]])</f>
        <v>42</v>
      </c>
      <c r="AE32" s="12" t="str">
        <f>Table1[[#This Row],[Please select your county]]</f>
        <v>Alameda County</v>
      </c>
      <c r="AF32" s="41">
        <f>COUNTIF(AE:AE,Table1[[#This Row],[County]])</f>
        <v>52</v>
      </c>
      <c r="AG32" s="12">
        <v>2025</v>
      </c>
    </row>
    <row r="33" spans="1:33" ht="15.5" x14ac:dyDescent="0.35">
      <c r="A33" s="12">
        <v>129</v>
      </c>
      <c r="B33" s="12" t="s">
        <v>98</v>
      </c>
      <c r="C33" s="12" t="s">
        <v>266</v>
      </c>
      <c r="D33" s="12"/>
      <c r="E33" s="12"/>
      <c r="F33" s="12"/>
      <c r="G33" s="12"/>
      <c r="H33" s="12"/>
      <c r="I33" s="12"/>
      <c r="J33" s="12"/>
      <c r="K33" s="10" t="s">
        <v>267</v>
      </c>
      <c r="L33" s="10"/>
      <c r="M33" s="10"/>
      <c r="N33" s="10"/>
      <c r="O33" s="12" t="s">
        <v>38</v>
      </c>
      <c r="P33" s="12">
        <v>750</v>
      </c>
      <c r="Q33" s="12" t="s">
        <v>281</v>
      </c>
      <c r="R33" s="12" t="s">
        <v>68</v>
      </c>
      <c r="S33" s="12" t="s">
        <v>292</v>
      </c>
      <c r="T33" s="12" t="s">
        <v>159</v>
      </c>
      <c r="U33" s="12" t="s">
        <v>159</v>
      </c>
      <c r="V33" s="12" t="s">
        <v>163</v>
      </c>
      <c r="W33" s="12" t="s">
        <v>299</v>
      </c>
      <c r="X33" s="12"/>
      <c r="Y33" s="12" t="s">
        <v>290</v>
      </c>
      <c r="Z33" s="12"/>
      <c r="AA33" s="12" t="s">
        <v>300</v>
      </c>
      <c r="AB33" s="12" t="s">
        <v>190</v>
      </c>
      <c r="AC33" s="12" t="str">
        <f>Table1[[#This Row],[City or Community (Alameda County)]]</f>
        <v>Pleasanton</v>
      </c>
      <c r="AD33" s="12">
        <f>COUNTIF(C:C,Table1[[#This Row],[City or Community (Alameda County)]])</f>
        <v>42</v>
      </c>
      <c r="AE33" s="12" t="str">
        <f>Table1[[#This Row],[Please select your county]]</f>
        <v>Alameda County</v>
      </c>
      <c r="AF33" s="41">
        <f>COUNTIF(AE:AE,Table1[[#This Row],[County]])</f>
        <v>52</v>
      </c>
      <c r="AG33" s="12">
        <v>2025</v>
      </c>
    </row>
    <row r="34" spans="1:33" ht="15.5" x14ac:dyDescent="0.35">
      <c r="A34" s="12">
        <v>142</v>
      </c>
      <c r="B34" s="12" t="s">
        <v>98</v>
      </c>
      <c r="C34" s="12" t="s">
        <v>266</v>
      </c>
      <c r="D34" s="12"/>
      <c r="E34" s="12"/>
      <c r="F34" s="12"/>
      <c r="G34" s="12"/>
      <c r="H34" s="12"/>
      <c r="I34" s="12"/>
      <c r="J34" s="12"/>
      <c r="K34" s="10" t="s">
        <v>274</v>
      </c>
      <c r="L34" s="10"/>
      <c r="M34" s="10"/>
      <c r="N34" s="10"/>
      <c r="O34" s="12" t="s">
        <v>38</v>
      </c>
      <c r="P34" s="12">
        <v>760</v>
      </c>
      <c r="Q34" s="12" t="s">
        <v>281</v>
      </c>
      <c r="R34" s="12" t="s">
        <v>79</v>
      </c>
      <c r="S34" s="12" t="s">
        <v>272</v>
      </c>
      <c r="T34" s="12" t="s">
        <v>159</v>
      </c>
      <c r="U34" s="12" t="s">
        <v>160</v>
      </c>
      <c r="V34" s="12"/>
      <c r="W34" s="12"/>
      <c r="X34" s="12"/>
      <c r="Y34" s="12"/>
      <c r="Z34" s="12"/>
      <c r="AA34" s="12"/>
      <c r="AB34" s="12"/>
      <c r="AC34" s="12" t="str">
        <f>Table1[[#This Row],[City or Community (Alameda County)]]</f>
        <v>Pleasanton</v>
      </c>
      <c r="AD34" s="12">
        <f>COUNTIF(C:C,Table1[[#This Row],[City or Community (Alameda County)]])</f>
        <v>42</v>
      </c>
      <c r="AE34" s="12" t="str">
        <f>Table1[[#This Row],[Please select your county]]</f>
        <v>Alameda County</v>
      </c>
      <c r="AF34" s="41">
        <f>COUNTIF(AE:AE,Table1[[#This Row],[County]])</f>
        <v>52</v>
      </c>
      <c r="AG34" s="12">
        <v>2025</v>
      </c>
    </row>
    <row r="35" spans="1:33" ht="15.5" x14ac:dyDescent="0.35">
      <c r="A35" s="12">
        <v>230</v>
      </c>
      <c r="B35" s="12" t="s">
        <v>98</v>
      </c>
      <c r="C35" s="12" t="s">
        <v>266</v>
      </c>
      <c r="D35" s="12"/>
      <c r="E35" s="12"/>
      <c r="F35" s="12"/>
      <c r="G35" s="12"/>
      <c r="H35" s="12"/>
      <c r="I35" s="12"/>
      <c r="J35" s="12"/>
      <c r="K35" s="10" t="s">
        <v>274</v>
      </c>
      <c r="L35" s="10"/>
      <c r="M35" s="10"/>
      <c r="N35" s="10"/>
      <c r="O35" s="12" t="s">
        <v>38</v>
      </c>
      <c r="P35" s="12">
        <v>768</v>
      </c>
      <c r="Q35" s="12" t="s">
        <v>295</v>
      </c>
      <c r="R35" s="12" t="s">
        <v>79</v>
      </c>
      <c r="S35" s="12" t="s">
        <v>276</v>
      </c>
      <c r="T35" s="12" t="s">
        <v>159</v>
      </c>
      <c r="U35" s="12" t="s">
        <v>160</v>
      </c>
      <c r="V35" s="12"/>
      <c r="W35" s="12"/>
      <c r="X35" s="12"/>
      <c r="Y35" s="12"/>
      <c r="Z35" s="12"/>
      <c r="AA35" s="12"/>
      <c r="AB35" s="12"/>
      <c r="AC35" s="12" t="str">
        <f>Table1[[#This Row],[City or Community (Alameda County)]]</f>
        <v>Pleasanton</v>
      </c>
      <c r="AD35" s="12">
        <f>COUNTIF(C:C,Table1[[#This Row],[City or Community (Alameda County)]])</f>
        <v>42</v>
      </c>
      <c r="AE35" s="12" t="str">
        <f>Table1[[#This Row],[Please select your county]]</f>
        <v>Alameda County</v>
      </c>
      <c r="AF35" s="41">
        <f>COUNTIF(AE:AE,Table1[[#This Row],[County]])</f>
        <v>52</v>
      </c>
      <c r="AG35" s="12">
        <v>2025</v>
      </c>
    </row>
    <row r="36" spans="1:33" ht="15.5" x14ac:dyDescent="0.35">
      <c r="A36" s="12">
        <v>94</v>
      </c>
      <c r="B36" s="12" t="s">
        <v>98</v>
      </c>
      <c r="C36" s="12" t="s">
        <v>266</v>
      </c>
      <c r="D36" s="12"/>
      <c r="E36" s="12"/>
      <c r="F36" s="12"/>
      <c r="G36" s="12"/>
      <c r="H36" s="12"/>
      <c r="I36" s="12"/>
      <c r="J36" s="12"/>
      <c r="K36" s="10" t="s">
        <v>274</v>
      </c>
      <c r="L36" s="10"/>
      <c r="M36" s="10"/>
      <c r="N36" s="10"/>
      <c r="O36" s="12" t="s">
        <v>38</v>
      </c>
      <c r="P36" s="12">
        <v>799</v>
      </c>
      <c r="Q36" s="12" t="s">
        <v>281</v>
      </c>
      <c r="R36" s="12" t="s">
        <v>79</v>
      </c>
      <c r="S36" s="12" t="s">
        <v>292</v>
      </c>
      <c r="T36" s="12" t="s">
        <v>159</v>
      </c>
      <c r="U36" s="12" t="s">
        <v>160</v>
      </c>
      <c r="V36" s="12"/>
      <c r="W36" s="12"/>
      <c r="X36" s="12"/>
      <c r="Y36" s="12"/>
      <c r="Z36" s="12"/>
      <c r="AA36" s="12"/>
      <c r="AB36" s="12"/>
      <c r="AC36" s="12" t="str">
        <f>Table1[[#This Row],[City or Community (Alameda County)]]</f>
        <v>Pleasanton</v>
      </c>
      <c r="AD36" s="12">
        <f>COUNTIF(C:C,Table1[[#This Row],[City or Community (Alameda County)]])</f>
        <v>42</v>
      </c>
      <c r="AE36" s="12" t="str">
        <f>Table1[[#This Row],[Please select your county]]</f>
        <v>Alameda County</v>
      </c>
      <c r="AF36" s="41">
        <f>COUNTIF(AE:AE,Table1[[#This Row],[County]])</f>
        <v>52</v>
      </c>
      <c r="AG36" s="12">
        <v>2025</v>
      </c>
    </row>
    <row r="37" spans="1:33" ht="15.5" x14ac:dyDescent="0.35">
      <c r="A37" s="12">
        <v>519</v>
      </c>
      <c r="B37" s="12" t="s">
        <v>98</v>
      </c>
      <c r="C37" s="12" t="s">
        <v>266</v>
      </c>
      <c r="D37" s="12"/>
      <c r="E37" s="12"/>
      <c r="F37" s="12"/>
      <c r="G37" s="12"/>
      <c r="H37" s="12"/>
      <c r="I37" s="12"/>
      <c r="J37" s="12"/>
      <c r="K37" s="12" t="s">
        <v>294</v>
      </c>
      <c r="L37" s="12" t="s">
        <v>277</v>
      </c>
      <c r="M37" s="12" t="s">
        <v>301</v>
      </c>
      <c r="N37" s="12" t="s">
        <v>280</v>
      </c>
      <c r="O37" s="12" t="s">
        <v>38</v>
      </c>
      <c r="P37" s="12">
        <v>799</v>
      </c>
      <c r="Q37" s="12" t="s">
        <v>281</v>
      </c>
      <c r="R37" s="12" t="s">
        <v>79</v>
      </c>
      <c r="S37" s="12" t="s">
        <v>272</v>
      </c>
      <c r="T37" s="12" t="s">
        <v>159</v>
      </c>
      <c r="U37" s="12" t="s">
        <v>160</v>
      </c>
      <c r="V37" s="12"/>
      <c r="W37" s="12"/>
      <c r="X37" s="12"/>
      <c r="Y37" s="12"/>
      <c r="Z37" s="12"/>
      <c r="AA37" s="12"/>
      <c r="AB37" s="12"/>
      <c r="AC37" s="12" t="str">
        <f>Table1[[#This Row],[City or Community (Alameda County)]]</f>
        <v>Pleasanton</v>
      </c>
      <c r="AD37" s="12">
        <f>COUNTIF(C:C,Table1[[#This Row],[City or Community (Alameda County)]])</f>
        <v>42</v>
      </c>
      <c r="AE37" s="12" t="str">
        <f>Table1[[#This Row],[Please select your county]]</f>
        <v>Alameda County</v>
      </c>
      <c r="AF37" s="41">
        <f>COUNTIF(AE:AE,Table1[[#This Row],[County]])</f>
        <v>52</v>
      </c>
      <c r="AG37" s="12">
        <v>2025</v>
      </c>
    </row>
    <row r="38" spans="1:33" ht="31" x14ac:dyDescent="0.35">
      <c r="A38" s="12">
        <v>425</v>
      </c>
      <c r="B38" s="12" t="s">
        <v>98</v>
      </c>
      <c r="C38" s="12" t="s">
        <v>266</v>
      </c>
      <c r="D38" s="12"/>
      <c r="E38" s="12"/>
      <c r="F38" s="12"/>
      <c r="G38" s="12"/>
      <c r="H38" s="12"/>
      <c r="I38" s="12"/>
      <c r="J38" s="12"/>
      <c r="K38" s="10" t="s">
        <v>274</v>
      </c>
      <c r="L38" s="10" t="s">
        <v>277</v>
      </c>
      <c r="M38" s="10" t="s">
        <v>269</v>
      </c>
      <c r="N38" s="10" t="s">
        <v>280</v>
      </c>
      <c r="O38" s="12" t="s">
        <v>38</v>
      </c>
      <c r="P38" s="12">
        <v>800</v>
      </c>
      <c r="Q38" s="12" t="s">
        <v>295</v>
      </c>
      <c r="R38" s="12" t="s">
        <v>79</v>
      </c>
      <c r="S38" s="12" t="s">
        <v>276</v>
      </c>
      <c r="T38" s="12" t="s">
        <v>159</v>
      </c>
      <c r="U38" s="12" t="s">
        <v>159</v>
      </c>
      <c r="V38" s="12" t="s">
        <v>162</v>
      </c>
      <c r="W38" s="12" t="s">
        <v>299</v>
      </c>
      <c r="X38" s="12"/>
      <c r="Y38" s="12" t="s">
        <v>290</v>
      </c>
      <c r="Z38" s="12"/>
      <c r="AA38" s="12" t="s">
        <v>286</v>
      </c>
      <c r="AB38" s="12" t="s">
        <v>190</v>
      </c>
      <c r="AC38" s="12" t="str">
        <f>Table1[[#This Row],[City or Community (Alameda County)]]</f>
        <v>Pleasanton</v>
      </c>
      <c r="AD38" s="12">
        <f>COUNTIF(C:C,Table1[[#This Row],[City or Community (Alameda County)]])</f>
        <v>42</v>
      </c>
      <c r="AE38" s="12" t="str">
        <f>Table1[[#This Row],[Please select your county]]</f>
        <v>Alameda County</v>
      </c>
      <c r="AF38" s="41">
        <f>COUNTIF(AE:AE,Table1[[#This Row],[County]])</f>
        <v>52</v>
      </c>
      <c r="AG38" s="12">
        <v>2025</v>
      </c>
    </row>
    <row r="39" spans="1:33" ht="15.5" x14ac:dyDescent="0.35">
      <c r="A39" s="12">
        <v>109</v>
      </c>
      <c r="B39" s="12" t="s">
        <v>98</v>
      </c>
      <c r="C39" s="12" t="s">
        <v>266</v>
      </c>
      <c r="D39" s="12"/>
      <c r="E39" s="12"/>
      <c r="F39" s="12"/>
      <c r="G39" s="12"/>
      <c r="H39" s="12"/>
      <c r="I39" s="12"/>
      <c r="J39" s="12"/>
      <c r="K39" s="10" t="s">
        <v>274</v>
      </c>
      <c r="L39" s="10"/>
      <c r="M39" s="10"/>
      <c r="N39" s="10"/>
      <c r="O39" s="12" t="s">
        <v>38</v>
      </c>
      <c r="P39" s="12">
        <v>840</v>
      </c>
      <c r="Q39" s="12" t="s">
        <v>281</v>
      </c>
      <c r="R39" s="12" t="s">
        <v>79</v>
      </c>
      <c r="S39" s="12" t="s">
        <v>292</v>
      </c>
      <c r="T39" s="12" t="s">
        <v>159</v>
      </c>
      <c r="U39" s="12" t="s">
        <v>160</v>
      </c>
      <c r="V39" s="12"/>
      <c r="W39" s="12"/>
      <c r="X39" s="12"/>
      <c r="Y39" s="12"/>
      <c r="Z39" s="12"/>
      <c r="AA39" s="12"/>
      <c r="AB39" s="12"/>
      <c r="AC39" s="12" t="str">
        <f>Table1[[#This Row],[City or Community (Alameda County)]]</f>
        <v>Pleasanton</v>
      </c>
      <c r="AD39" s="12">
        <f>COUNTIF(C:C,Table1[[#This Row],[City or Community (Alameda County)]])</f>
        <v>42</v>
      </c>
      <c r="AE39" s="12" t="str">
        <f>Table1[[#This Row],[Please select your county]]</f>
        <v>Alameda County</v>
      </c>
      <c r="AF39" s="41">
        <f>COUNTIF(AE:AE,Table1[[#This Row],[County]])</f>
        <v>52</v>
      </c>
      <c r="AG39" s="12">
        <v>2025</v>
      </c>
    </row>
    <row r="40" spans="1:33" ht="15.5" x14ac:dyDescent="0.35">
      <c r="A40" s="12">
        <v>130</v>
      </c>
      <c r="B40" s="12" t="s">
        <v>98</v>
      </c>
      <c r="C40" s="12" t="s">
        <v>266</v>
      </c>
      <c r="D40" s="12"/>
      <c r="E40" s="12"/>
      <c r="F40" s="12"/>
      <c r="G40" s="12"/>
      <c r="H40" s="12"/>
      <c r="I40" s="12"/>
      <c r="J40" s="12"/>
      <c r="K40" s="10" t="s">
        <v>274</v>
      </c>
      <c r="L40" s="10"/>
      <c r="M40" s="10"/>
      <c r="N40" s="10"/>
      <c r="O40" s="12" t="s">
        <v>38</v>
      </c>
      <c r="P40" s="12">
        <v>840</v>
      </c>
      <c r="Q40" s="12" t="s">
        <v>281</v>
      </c>
      <c r="R40" s="12" t="s">
        <v>79</v>
      </c>
      <c r="S40" s="12" t="s">
        <v>272</v>
      </c>
      <c r="T40" s="12" t="s">
        <v>159</v>
      </c>
      <c r="U40" s="12" t="s">
        <v>160</v>
      </c>
      <c r="V40" s="12"/>
      <c r="W40" s="12"/>
      <c r="X40" s="12"/>
      <c r="Y40" s="12"/>
      <c r="Z40" s="12"/>
      <c r="AA40" s="12"/>
      <c r="AB40" s="12"/>
      <c r="AC40" s="12" t="str">
        <f>Table1[[#This Row],[City or Community (Alameda County)]]</f>
        <v>Pleasanton</v>
      </c>
      <c r="AD40" s="12">
        <f>COUNTIF(C:C,Table1[[#This Row],[City or Community (Alameda County)]])</f>
        <v>42</v>
      </c>
      <c r="AE40" s="12" t="str">
        <f>Table1[[#This Row],[Please select your county]]</f>
        <v>Alameda County</v>
      </c>
      <c r="AF40" s="41">
        <f>COUNTIF(AE:AE,Table1[[#This Row],[County]])</f>
        <v>52</v>
      </c>
      <c r="AG40" s="12">
        <v>2025</v>
      </c>
    </row>
    <row r="41" spans="1:33" ht="31" x14ac:dyDescent="0.35">
      <c r="A41" s="12">
        <v>595</v>
      </c>
      <c r="B41" s="12" t="s">
        <v>98</v>
      </c>
      <c r="C41" s="12" t="s">
        <v>266</v>
      </c>
      <c r="D41" s="12"/>
      <c r="E41" s="12"/>
      <c r="F41" s="12"/>
      <c r="G41" s="12"/>
      <c r="H41" s="12"/>
      <c r="I41" s="12"/>
      <c r="J41" s="12"/>
      <c r="K41" s="10" t="s">
        <v>294</v>
      </c>
      <c r="L41" s="10" t="s">
        <v>279</v>
      </c>
      <c r="M41" s="10" t="s">
        <v>269</v>
      </c>
      <c r="N41" s="10" t="s">
        <v>278</v>
      </c>
      <c r="O41" s="12" t="s">
        <v>38</v>
      </c>
      <c r="P41" s="12">
        <v>1000</v>
      </c>
      <c r="Q41" s="12" t="s">
        <v>295</v>
      </c>
      <c r="R41" s="12" t="s">
        <v>79</v>
      </c>
      <c r="S41" s="12" t="s">
        <v>276</v>
      </c>
      <c r="T41" s="12" t="s">
        <v>159</v>
      </c>
      <c r="U41" s="12" t="s">
        <v>159</v>
      </c>
      <c r="V41" s="12" t="s">
        <v>163</v>
      </c>
      <c r="W41" s="12" t="s">
        <v>289</v>
      </c>
      <c r="X41" s="12"/>
      <c r="Y41" s="12" t="s">
        <v>290</v>
      </c>
      <c r="Z41" s="12"/>
      <c r="AA41" s="12" t="s">
        <v>295</v>
      </c>
      <c r="AB41" s="12" t="s">
        <v>190</v>
      </c>
      <c r="AC41" s="12" t="str">
        <f>Table1[[#This Row],[City or Community (Alameda County)]]</f>
        <v>Pleasanton</v>
      </c>
      <c r="AD41" s="12">
        <f>COUNTIF(C:C,Table1[[#This Row],[City or Community (Alameda County)]])</f>
        <v>42</v>
      </c>
      <c r="AE41" s="12" t="str">
        <f>Table1[[#This Row],[Please select your county]]</f>
        <v>Alameda County</v>
      </c>
      <c r="AF41" s="41">
        <f>COUNTIF(AE:AE,Table1[[#This Row],[County]])</f>
        <v>52</v>
      </c>
      <c r="AG41" s="12">
        <v>2025</v>
      </c>
    </row>
    <row r="42" spans="1:33" ht="31" x14ac:dyDescent="0.35">
      <c r="A42" s="12">
        <v>364</v>
      </c>
      <c r="B42" s="12" t="s">
        <v>98</v>
      </c>
      <c r="C42" s="12" t="s">
        <v>266</v>
      </c>
      <c r="D42" s="12"/>
      <c r="E42" s="12"/>
      <c r="F42" s="12"/>
      <c r="G42" s="12"/>
      <c r="H42" s="12"/>
      <c r="I42" s="12"/>
      <c r="J42" s="12"/>
      <c r="K42" s="10" t="s">
        <v>267</v>
      </c>
      <c r="L42" s="10" t="s">
        <v>279</v>
      </c>
      <c r="M42" s="10" t="s">
        <v>269</v>
      </c>
      <c r="N42" s="10" t="s">
        <v>280</v>
      </c>
      <c r="O42" s="12" t="s">
        <v>38</v>
      </c>
      <c r="P42" s="12">
        <v>1000</v>
      </c>
      <c r="Q42" s="12" t="s">
        <v>295</v>
      </c>
      <c r="R42" s="12" t="s">
        <v>72</v>
      </c>
      <c r="S42" s="12" t="s">
        <v>298</v>
      </c>
      <c r="T42" s="12" t="s">
        <v>159</v>
      </c>
      <c r="U42" s="12" t="s">
        <v>160</v>
      </c>
      <c r="V42" s="12"/>
      <c r="W42" s="12"/>
      <c r="X42" s="12"/>
      <c r="Y42" s="12"/>
      <c r="Z42" s="12"/>
      <c r="AA42" s="12"/>
      <c r="AB42" s="12"/>
      <c r="AC42" s="12" t="str">
        <f>Table1[[#This Row],[City or Community (Alameda County)]]</f>
        <v>Pleasanton</v>
      </c>
      <c r="AD42" s="12">
        <f>COUNTIF(C:C,Table1[[#This Row],[City or Community (Alameda County)]])</f>
        <v>42</v>
      </c>
      <c r="AE42" s="12" t="str">
        <f>Table1[[#This Row],[Please select your county]]</f>
        <v>Alameda County</v>
      </c>
      <c r="AF42" s="41">
        <f>COUNTIF(AE:AE,Table1[[#This Row],[County]])</f>
        <v>52</v>
      </c>
      <c r="AG42" s="12">
        <v>2025</v>
      </c>
    </row>
    <row r="43" spans="1:33" ht="15.5" x14ac:dyDescent="0.35">
      <c r="A43" s="12">
        <v>272</v>
      </c>
      <c r="B43" s="12" t="s">
        <v>98</v>
      </c>
      <c r="C43" s="12" t="s">
        <v>266</v>
      </c>
      <c r="D43" s="12"/>
      <c r="E43" s="12"/>
      <c r="F43" s="12"/>
      <c r="G43" s="12"/>
      <c r="H43" s="12"/>
      <c r="I43" s="12"/>
      <c r="J43" s="12"/>
      <c r="K43" s="10" t="s">
        <v>267</v>
      </c>
      <c r="L43" s="10"/>
      <c r="M43" s="10"/>
      <c r="N43" s="10"/>
      <c r="O43" s="12" t="s">
        <v>38</v>
      </c>
      <c r="P43" s="12">
        <v>1000</v>
      </c>
      <c r="Q43" s="12" t="s">
        <v>295</v>
      </c>
      <c r="R43" s="12" t="s">
        <v>165</v>
      </c>
      <c r="S43" s="12" t="s">
        <v>284</v>
      </c>
      <c r="T43" s="12" t="s">
        <v>159</v>
      </c>
      <c r="U43" s="12" t="s">
        <v>160</v>
      </c>
      <c r="V43" s="12"/>
      <c r="W43" s="12"/>
      <c r="X43" s="12"/>
      <c r="Y43" s="12"/>
      <c r="Z43" s="12"/>
      <c r="AA43" s="12"/>
      <c r="AB43" s="12"/>
      <c r="AC43" s="12" t="str">
        <f>Table1[[#This Row],[City or Community (Alameda County)]]</f>
        <v>Pleasanton</v>
      </c>
      <c r="AD43" s="12">
        <f>COUNTIF(C:C,Table1[[#This Row],[City or Community (Alameda County)]])</f>
        <v>42</v>
      </c>
      <c r="AE43" s="12" t="str">
        <f>Table1[[#This Row],[Please select your county]]</f>
        <v>Alameda County</v>
      </c>
      <c r="AF43" s="41">
        <f>COUNTIF(AE:AE,Table1[[#This Row],[County]])</f>
        <v>52</v>
      </c>
      <c r="AG43" s="12">
        <v>2025</v>
      </c>
    </row>
    <row r="44" spans="1:33" ht="31" x14ac:dyDescent="0.35">
      <c r="A44" s="12">
        <v>578</v>
      </c>
      <c r="B44" s="12" t="s">
        <v>98</v>
      </c>
      <c r="C44" s="12" t="s">
        <v>302</v>
      </c>
      <c r="D44" s="12"/>
      <c r="E44" s="12"/>
      <c r="F44" s="12"/>
      <c r="G44" s="12"/>
      <c r="H44" s="12"/>
      <c r="I44" s="12"/>
      <c r="J44" s="12"/>
      <c r="K44" s="10" t="s">
        <v>273</v>
      </c>
      <c r="L44" s="10" t="s">
        <v>279</v>
      </c>
      <c r="M44" s="10" t="s">
        <v>303</v>
      </c>
      <c r="N44" s="10" t="s">
        <v>278</v>
      </c>
      <c r="O44" s="12" t="s">
        <v>39</v>
      </c>
      <c r="P44" s="12">
        <v>308</v>
      </c>
      <c r="Q44" s="12" t="s">
        <v>271</v>
      </c>
      <c r="R44" s="12" t="s">
        <v>76</v>
      </c>
      <c r="S44" s="12" t="s">
        <v>276</v>
      </c>
      <c r="T44" s="12" t="s">
        <v>83</v>
      </c>
      <c r="U44" s="12" t="s">
        <v>160</v>
      </c>
      <c r="V44" s="12"/>
      <c r="W44" s="12"/>
      <c r="X44" s="12"/>
      <c r="Y44" s="12"/>
      <c r="Z44" s="12"/>
      <c r="AA44" s="12"/>
      <c r="AB44" s="12"/>
      <c r="AC44" s="12" t="str">
        <f>Table1[[#This Row],[City or Community (Alameda County)]]</f>
        <v>Fremont</v>
      </c>
      <c r="AD44" s="12">
        <f>COUNTIF(C:C,Table1[[#This Row],[City or Community (Alameda County)]])</f>
        <v>4</v>
      </c>
      <c r="AE44" s="12" t="str">
        <f>Table1[[#This Row],[Please select your county]]</f>
        <v>Alameda County</v>
      </c>
      <c r="AF44" s="41">
        <f>COUNTIF(AE:AE,Table1[[#This Row],[County]])</f>
        <v>52</v>
      </c>
      <c r="AG44" s="12">
        <v>2025</v>
      </c>
    </row>
    <row r="45" spans="1:33" ht="31" x14ac:dyDescent="0.35">
      <c r="A45" s="12">
        <v>598</v>
      </c>
      <c r="B45" s="12" t="s">
        <v>98</v>
      </c>
      <c r="C45" s="12" t="s">
        <v>302</v>
      </c>
      <c r="D45" s="12"/>
      <c r="E45" s="12"/>
      <c r="F45" s="12"/>
      <c r="G45" s="12"/>
      <c r="H45" s="12"/>
      <c r="I45" s="12"/>
      <c r="J45" s="12"/>
      <c r="K45" s="10" t="s">
        <v>296</v>
      </c>
      <c r="L45" s="10" t="s">
        <v>277</v>
      </c>
      <c r="M45" s="10" t="s">
        <v>269</v>
      </c>
      <c r="N45" s="10" t="s">
        <v>280</v>
      </c>
      <c r="O45" s="12" t="s">
        <v>38</v>
      </c>
      <c r="P45" s="12">
        <v>592</v>
      </c>
      <c r="Q45" s="12" t="s">
        <v>295</v>
      </c>
      <c r="R45" s="12" t="s">
        <v>70</v>
      </c>
      <c r="S45" s="12" t="s">
        <v>304</v>
      </c>
      <c r="T45" s="12" t="s">
        <v>159</v>
      </c>
      <c r="U45" s="12" t="s">
        <v>160</v>
      </c>
      <c r="V45" s="12"/>
      <c r="W45" s="12"/>
      <c r="X45" s="12"/>
      <c r="Y45" s="12"/>
      <c r="Z45" s="12"/>
      <c r="AA45" s="12"/>
      <c r="AB45" s="12"/>
      <c r="AC45" s="12" t="str">
        <f>Table1[[#This Row],[City or Community (Alameda County)]]</f>
        <v>Fremont</v>
      </c>
      <c r="AD45" s="12">
        <f>COUNTIF(C:C,Table1[[#This Row],[City or Community (Alameda County)]])</f>
        <v>4</v>
      </c>
      <c r="AE45" s="12" t="str">
        <f>Table1[[#This Row],[Please select your county]]</f>
        <v>Alameda County</v>
      </c>
      <c r="AF45" s="41">
        <f>COUNTIF(AE:AE,Table1[[#This Row],[County]])</f>
        <v>52</v>
      </c>
      <c r="AG45" s="12">
        <v>2025</v>
      </c>
    </row>
    <row r="46" spans="1:33" ht="31" x14ac:dyDescent="0.35">
      <c r="A46" s="12">
        <v>600</v>
      </c>
      <c r="B46" s="12" t="s">
        <v>98</v>
      </c>
      <c r="C46" s="12" t="s">
        <v>302</v>
      </c>
      <c r="D46" s="12"/>
      <c r="E46" s="12"/>
      <c r="F46" s="12"/>
      <c r="G46" s="12"/>
      <c r="H46" s="12"/>
      <c r="I46" s="12"/>
      <c r="J46" s="12"/>
      <c r="K46" s="10" t="s">
        <v>273</v>
      </c>
      <c r="L46" s="10" t="s">
        <v>279</v>
      </c>
      <c r="M46" s="10" t="s">
        <v>269</v>
      </c>
      <c r="N46" s="10" t="s">
        <v>278</v>
      </c>
      <c r="O46" s="12" t="s">
        <v>39</v>
      </c>
      <c r="P46" s="12">
        <v>660</v>
      </c>
      <c r="Q46" s="12" t="s">
        <v>281</v>
      </c>
      <c r="R46" s="12" t="s">
        <v>76</v>
      </c>
      <c r="S46" s="12" t="s">
        <v>272</v>
      </c>
      <c r="T46" s="12" t="s">
        <v>83</v>
      </c>
      <c r="U46" s="12" t="s">
        <v>160</v>
      </c>
      <c r="V46" s="12"/>
      <c r="W46" s="12"/>
      <c r="X46" s="12"/>
      <c r="Y46" s="12"/>
      <c r="Z46" s="12"/>
      <c r="AA46" s="12"/>
      <c r="AB46" s="12"/>
      <c r="AC46" s="12" t="str">
        <f>Table1[[#This Row],[City or Community (Alameda County)]]</f>
        <v>Fremont</v>
      </c>
      <c r="AD46" s="12">
        <f>COUNTIF(C:C,Table1[[#This Row],[City or Community (Alameda County)]])</f>
        <v>4</v>
      </c>
      <c r="AE46" s="12" t="str">
        <f>Table1[[#This Row],[Please select your county]]</f>
        <v>Alameda County</v>
      </c>
      <c r="AF46" s="41">
        <f>COUNTIF(AE:AE,Table1[[#This Row],[County]])</f>
        <v>52</v>
      </c>
      <c r="AG46" s="12">
        <v>2025</v>
      </c>
    </row>
    <row r="47" spans="1:33" ht="31" x14ac:dyDescent="0.35">
      <c r="A47" s="12">
        <v>590</v>
      </c>
      <c r="B47" s="12" t="s">
        <v>98</v>
      </c>
      <c r="C47" s="12" t="s">
        <v>302</v>
      </c>
      <c r="D47" s="12"/>
      <c r="E47" s="12"/>
      <c r="F47" s="12"/>
      <c r="G47" s="12"/>
      <c r="H47" s="12"/>
      <c r="I47" s="12"/>
      <c r="J47" s="12"/>
      <c r="K47" s="10" t="s">
        <v>274</v>
      </c>
      <c r="L47" s="10" t="s">
        <v>277</v>
      </c>
      <c r="M47" s="10" t="s">
        <v>269</v>
      </c>
      <c r="N47" s="10" t="s">
        <v>278</v>
      </c>
      <c r="O47" s="12" t="s">
        <v>38</v>
      </c>
      <c r="P47" s="12">
        <v>797</v>
      </c>
      <c r="Q47" s="12" t="s">
        <v>295</v>
      </c>
      <c r="R47" s="12" t="s">
        <v>71</v>
      </c>
      <c r="S47" s="12" t="s">
        <v>305</v>
      </c>
      <c r="T47" s="12" t="s">
        <v>159</v>
      </c>
      <c r="U47" s="12" t="s">
        <v>160</v>
      </c>
      <c r="V47" s="12"/>
      <c r="W47" s="12"/>
      <c r="X47" s="12"/>
      <c r="Y47" s="12"/>
      <c r="Z47" s="12"/>
      <c r="AA47" s="12"/>
      <c r="AB47" s="12"/>
      <c r="AC47" s="12" t="str">
        <f>Table1[[#This Row],[City or Community (Alameda County)]]</f>
        <v>Fremont</v>
      </c>
      <c r="AD47" s="12">
        <f>COUNTIF(C:C,Table1[[#This Row],[City or Community (Alameda County)]])</f>
        <v>4</v>
      </c>
      <c r="AE47" s="12" t="str">
        <f>Table1[[#This Row],[Please select your county]]</f>
        <v>Alameda County</v>
      </c>
      <c r="AF47" s="41">
        <f>COUNTIF(AE:AE,Table1[[#This Row],[County]])</f>
        <v>52</v>
      </c>
      <c r="AG47" s="12">
        <v>2025</v>
      </c>
    </row>
    <row r="48" spans="1:33" ht="15.5" x14ac:dyDescent="0.35">
      <c r="A48" s="12">
        <v>149</v>
      </c>
      <c r="B48" s="12" t="s">
        <v>98</v>
      </c>
      <c r="C48" s="12" t="s">
        <v>306</v>
      </c>
      <c r="D48" s="12"/>
      <c r="E48" s="12"/>
      <c r="F48" s="12"/>
      <c r="G48" s="12"/>
      <c r="H48" s="12"/>
      <c r="I48" s="12"/>
      <c r="J48" s="12"/>
      <c r="K48" s="10" t="s">
        <v>274</v>
      </c>
      <c r="L48" s="10"/>
      <c r="M48" s="10"/>
      <c r="N48" s="10"/>
      <c r="O48" s="12" t="s">
        <v>38</v>
      </c>
      <c r="P48" s="12">
        <v>440</v>
      </c>
      <c r="Q48" s="12" t="s">
        <v>281</v>
      </c>
      <c r="R48" s="12" t="s">
        <v>71</v>
      </c>
      <c r="S48" s="12" t="s">
        <v>284</v>
      </c>
      <c r="T48" s="12" t="s">
        <v>160</v>
      </c>
      <c r="U48" s="12" t="s">
        <v>159</v>
      </c>
      <c r="V48" s="12" t="s">
        <v>162</v>
      </c>
      <c r="W48" s="12" t="s">
        <v>289</v>
      </c>
      <c r="X48" s="12"/>
      <c r="Y48" s="12" t="s">
        <v>290</v>
      </c>
      <c r="Z48" s="12"/>
      <c r="AA48" s="12" t="s">
        <v>295</v>
      </c>
      <c r="AB48" s="12" t="s">
        <v>188</v>
      </c>
      <c r="AC48" s="12" t="str">
        <f>Table1[[#This Row],[City or Community (Alameda County)]]</f>
        <v>Dublin</v>
      </c>
      <c r="AD48" s="12">
        <f>COUNTIF(C:C,Table1[[#This Row],[City or Community (Alameda County)]])</f>
        <v>2</v>
      </c>
      <c r="AE48" s="12" t="str">
        <f>Table1[[#This Row],[Please select your county]]</f>
        <v>Alameda County</v>
      </c>
      <c r="AF48" s="41">
        <f>COUNTIF(AE:AE,Table1[[#This Row],[County]])</f>
        <v>52</v>
      </c>
      <c r="AG48" s="12">
        <v>2025</v>
      </c>
    </row>
    <row r="49" spans="1:33" ht="15.5" x14ac:dyDescent="0.35">
      <c r="A49" s="12">
        <v>240</v>
      </c>
      <c r="B49" s="12" t="s">
        <v>98</v>
      </c>
      <c r="C49" s="12" t="s">
        <v>307</v>
      </c>
      <c r="D49" s="12"/>
      <c r="E49" s="12"/>
      <c r="F49" s="12"/>
      <c r="G49" s="12"/>
      <c r="H49" s="12"/>
      <c r="I49" s="12"/>
      <c r="J49" s="12"/>
      <c r="K49" s="10" t="s">
        <v>267</v>
      </c>
      <c r="L49" s="10"/>
      <c r="M49" s="10"/>
      <c r="N49" s="10"/>
      <c r="O49" s="12" t="s">
        <v>38</v>
      </c>
      <c r="P49" s="12">
        <v>630</v>
      </c>
      <c r="Q49" s="12" t="s">
        <v>281</v>
      </c>
      <c r="R49" s="12" t="s">
        <v>165</v>
      </c>
      <c r="S49" s="12" t="s">
        <v>275</v>
      </c>
      <c r="T49" s="12" t="s">
        <v>83</v>
      </c>
      <c r="U49" s="12" t="s">
        <v>160</v>
      </c>
      <c r="V49" s="12"/>
      <c r="W49" s="12"/>
      <c r="X49" s="12"/>
      <c r="Y49" s="12"/>
      <c r="Z49" s="12"/>
      <c r="AA49" s="12"/>
      <c r="AB49" s="12"/>
      <c r="AC49" s="12" t="str">
        <f>Table1[[#This Row],[City or Community (Alameda County)]]</f>
        <v>Oakland</v>
      </c>
      <c r="AD49" s="12">
        <f>COUNTIF(C:C,Table1[[#This Row],[City or Community (Alameda County)]])</f>
        <v>2</v>
      </c>
      <c r="AE49" s="12" t="str">
        <f>Table1[[#This Row],[Please select your county]]</f>
        <v>Alameda County</v>
      </c>
      <c r="AF49" s="41">
        <f>COUNTIF(AE:AE,Table1[[#This Row],[County]])</f>
        <v>52</v>
      </c>
      <c r="AG49" s="12">
        <v>2025</v>
      </c>
    </row>
    <row r="50" spans="1:33" ht="31" x14ac:dyDescent="0.35">
      <c r="A50" s="12">
        <v>144</v>
      </c>
      <c r="B50" s="12" t="s">
        <v>98</v>
      </c>
      <c r="C50" s="12" t="s">
        <v>306</v>
      </c>
      <c r="D50" s="12"/>
      <c r="E50" s="12"/>
      <c r="F50" s="12"/>
      <c r="G50" s="12"/>
      <c r="H50" s="12"/>
      <c r="I50" s="12"/>
      <c r="J50" s="12"/>
      <c r="K50" s="10" t="s">
        <v>308</v>
      </c>
      <c r="L50" s="10"/>
      <c r="M50" s="10"/>
      <c r="N50" s="10"/>
      <c r="O50" s="12" t="s">
        <v>38</v>
      </c>
      <c r="P50" s="12">
        <v>750</v>
      </c>
      <c r="Q50" s="12" t="s">
        <v>295</v>
      </c>
      <c r="R50" s="12" t="s">
        <v>71</v>
      </c>
      <c r="S50" s="12" t="s">
        <v>276</v>
      </c>
      <c r="T50" s="12" t="s">
        <v>160</v>
      </c>
      <c r="U50" s="12" t="s">
        <v>159</v>
      </c>
      <c r="V50" s="12" t="s">
        <v>163</v>
      </c>
      <c r="W50" s="12" t="s">
        <v>299</v>
      </c>
      <c r="X50" s="12"/>
      <c r="Y50" s="12" t="s">
        <v>290</v>
      </c>
      <c r="Z50" s="12"/>
      <c r="AA50" s="12" t="s">
        <v>281</v>
      </c>
      <c r="AB50" s="12" t="s">
        <v>189</v>
      </c>
      <c r="AC50" s="12" t="str">
        <f>Table1[[#This Row],[City or Community (Alameda County)]]</f>
        <v>Dublin</v>
      </c>
      <c r="AD50" s="12">
        <f>COUNTIF(C:C,Table1[[#This Row],[City or Community (Alameda County)]])</f>
        <v>2</v>
      </c>
      <c r="AE50" s="12" t="str">
        <f>Table1[[#This Row],[Please select your county]]</f>
        <v>Alameda County</v>
      </c>
      <c r="AF50" s="41">
        <f>COUNTIF(AE:AE,Table1[[#This Row],[County]])</f>
        <v>52</v>
      </c>
      <c r="AG50" s="12">
        <v>2025</v>
      </c>
    </row>
    <row r="51" spans="1:33" ht="15.5" x14ac:dyDescent="0.35">
      <c r="A51" s="12">
        <v>165</v>
      </c>
      <c r="B51" s="12" t="s">
        <v>98</v>
      </c>
      <c r="C51" s="12" t="s">
        <v>307</v>
      </c>
      <c r="D51" s="12"/>
      <c r="E51" s="12"/>
      <c r="F51" s="12"/>
      <c r="G51" s="12"/>
      <c r="H51" s="12"/>
      <c r="I51" s="12"/>
      <c r="J51" s="12"/>
      <c r="K51" s="10" t="s">
        <v>267</v>
      </c>
      <c r="L51" s="10"/>
      <c r="M51" s="10"/>
      <c r="N51" s="10"/>
      <c r="O51" s="12" t="s">
        <v>38</v>
      </c>
      <c r="P51" s="12">
        <v>950</v>
      </c>
      <c r="Q51" s="12" t="s">
        <v>295</v>
      </c>
      <c r="R51" s="12" t="s">
        <v>72</v>
      </c>
      <c r="S51" s="12" t="s">
        <v>272</v>
      </c>
      <c r="T51" s="12" t="s">
        <v>160</v>
      </c>
      <c r="U51" s="12" t="s">
        <v>160</v>
      </c>
      <c r="V51" s="12"/>
      <c r="W51" s="12"/>
      <c r="X51" s="12"/>
      <c r="Y51" s="12"/>
      <c r="Z51" s="12"/>
      <c r="AA51" s="12"/>
      <c r="AB51" s="12"/>
      <c r="AC51" s="12" t="str">
        <f>Table1[[#This Row],[City or Community (Alameda County)]]</f>
        <v>Oakland</v>
      </c>
      <c r="AD51" s="12">
        <f>COUNTIF(C:C,Table1[[#This Row],[City or Community (Alameda County)]])</f>
        <v>2</v>
      </c>
      <c r="AE51" s="12" t="str">
        <f>Table1[[#This Row],[Please select your county]]</f>
        <v>Alameda County</v>
      </c>
      <c r="AF51" s="41">
        <f>COUNTIF(AE:AE,Table1[[#This Row],[County]])</f>
        <v>52</v>
      </c>
      <c r="AG51" s="12">
        <v>2025</v>
      </c>
    </row>
    <row r="52" spans="1:33" ht="15.5" x14ac:dyDescent="0.35">
      <c r="A52" s="12">
        <v>153</v>
      </c>
      <c r="B52" s="12" t="s">
        <v>98</v>
      </c>
      <c r="C52" s="12" t="s">
        <v>309</v>
      </c>
      <c r="D52" s="12"/>
      <c r="E52" s="12"/>
      <c r="F52" s="12"/>
      <c r="G52" s="12"/>
      <c r="H52" s="12"/>
      <c r="I52" s="12"/>
      <c r="J52" s="12"/>
      <c r="K52" s="10" t="s">
        <v>267</v>
      </c>
      <c r="L52" s="10"/>
      <c r="M52" s="10"/>
      <c r="N52" s="10"/>
      <c r="O52" s="12" t="s">
        <v>38</v>
      </c>
      <c r="P52" s="12">
        <v>350</v>
      </c>
      <c r="Q52" s="12" t="s">
        <v>281</v>
      </c>
      <c r="R52" s="12" t="s">
        <v>69</v>
      </c>
      <c r="S52" s="12" t="s">
        <v>276</v>
      </c>
      <c r="T52" s="12" t="s">
        <v>160</v>
      </c>
      <c r="U52" s="12" t="s">
        <v>160</v>
      </c>
      <c r="V52" s="12"/>
      <c r="W52" s="12"/>
      <c r="X52" s="12"/>
      <c r="Y52" s="12"/>
      <c r="Z52" s="12"/>
      <c r="AA52" s="12"/>
      <c r="AB52" s="12"/>
      <c r="AC52" s="12" t="str">
        <f>Table1[[#This Row],[City or Community (Alameda County)]]</f>
        <v>San Leandro</v>
      </c>
      <c r="AD52" s="12">
        <f>COUNTIF(C:C,Table1[[#This Row],[City or Community (Alameda County)]])</f>
        <v>1</v>
      </c>
      <c r="AE52" s="12" t="str">
        <f>Table1[[#This Row],[Please select your county]]</f>
        <v>Alameda County</v>
      </c>
      <c r="AF52" s="41">
        <f>COUNTIF(AE:AE,Table1[[#This Row],[County]])</f>
        <v>52</v>
      </c>
      <c r="AG52" s="12">
        <v>2025</v>
      </c>
    </row>
    <row r="53" spans="1:33" ht="15.5" x14ac:dyDescent="0.35">
      <c r="A53" s="12">
        <v>166</v>
      </c>
      <c r="B53" s="12" t="s">
        <v>98</v>
      </c>
      <c r="C53" s="12" t="s">
        <v>310</v>
      </c>
      <c r="D53" s="12"/>
      <c r="E53" s="12"/>
      <c r="F53" s="12"/>
      <c r="G53" s="12"/>
      <c r="H53" s="12"/>
      <c r="I53" s="12"/>
      <c r="J53" s="12"/>
      <c r="K53" s="10" t="s">
        <v>267</v>
      </c>
      <c r="L53" s="10"/>
      <c r="M53" s="10"/>
      <c r="N53" s="10"/>
      <c r="O53" s="12" t="s">
        <v>38</v>
      </c>
      <c r="P53" s="12">
        <v>448</v>
      </c>
      <c r="Q53" s="12" t="s">
        <v>281</v>
      </c>
      <c r="R53" s="12" t="s">
        <v>71</v>
      </c>
      <c r="S53" s="12" t="s">
        <v>272</v>
      </c>
      <c r="T53" s="12" t="s">
        <v>160</v>
      </c>
      <c r="U53" s="12" t="s">
        <v>159</v>
      </c>
      <c r="V53" s="12" t="s">
        <v>163</v>
      </c>
      <c r="W53" s="12" t="s">
        <v>289</v>
      </c>
      <c r="X53" s="12"/>
      <c r="Y53" s="12" t="s">
        <v>290</v>
      </c>
      <c r="Z53" s="12"/>
      <c r="AA53" s="12" t="s">
        <v>291</v>
      </c>
      <c r="AB53" s="12" t="s">
        <v>190</v>
      </c>
      <c r="AC53" s="12" t="str">
        <f>Table1[[#This Row],[City or Community (Alameda County)]]</f>
        <v>Berkeley</v>
      </c>
      <c r="AD53" s="12">
        <f>COUNTIF(C:C,Table1[[#This Row],[City or Community (Alameda County)]])</f>
        <v>1</v>
      </c>
      <c r="AE53" s="12" t="str">
        <f>Table1[[#This Row],[Please select your county]]</f>
        <v>Alameda County</v>
      </c>
      <c r="AF53" s="41">
        <f>COUNTIF(AE:AE,Table1[[#This Row],[County]])</f>
        <v>52</v>
      </c>
      <c r="AG53" s="12">
        <v>2025</v>
      </c>
    </row>
    <row r="54" spans="1:33" ht="15.5" x14ac:dyDescent="0.35">
      <c r="A54" s="12">
        <v>314</v>
      </c>
      <c r="B54" s="12" t="s">
        <v>146</v>
      </c>
      <c r="C54" s="12"/>
      <c r="D54" s="12" t="s">
        <v>311</v>
      </c>
      <c r="E54" s="12"/>
      <c r="F54" s="12"/>
      <c r="G54" s="12"/>
      <c r="H54" s="12"/>
      <c r="I54" s="12"/>
      <c r="J54" s="12"/>
      <c r="K54" s="10" t="s">
        <v>267</v>
      </c>
      <c r="L54" s="10"/>
      <c r="M54" s="10"/>
      <c r="N54" s="10"/>
      <c r="O54" s="12" t="s">
        <v>38</v>
      </c>
      <c r="P54" s="12">
        <v>2</v>
      </c>
      <c r="Q54" s="12" t="s">
        <v>281</v>
      </c>
      <c r="R54" s="12" t="s">
        <v>67</v>
      </c>
      <c r="S54" s="12" t="s">
        <v>272</v>
      </c>
      <c r="T54" s="12" t="s">
        <v>160</v>
      </c>
      <c r="U54" s="12" t="s">
        <v>160</v>
      </c>
      <c r="V54" s="12"/>
      <c r="W54" s="12"/>
      <c r="X54" s="12"/>
      <c r="Y54" s="12"/>
      <c r="Z54" s="12"/>
      <c r="AA54" s="12"/>
      <c r="AB54" s="12"/>
      <c r="AC54" s="12" t="str">
        <f>Table1[[#This Row],[City or Community (Contra Costa)]]</f>
        <v>Antioch</v>
      </c>
      <c r="AD54" s="12">
        <f>COUNTIF(D:D,Table1[[#This Row],[City or Community (Contra Costa)]])</f>
        <v>88</v>
      </c>
      <c r="AE54" s="12" t="str">
        <f>Table1[[#This Row],[Please select your county]]</f>
        <v>Contra Costa County</v>
      </c>
      <c r="AF54" s="41">
        <f>COUNTIF(AE:AE,Table1[[#This Row],[County]])</f>
        <v>131</v>
      </c>
      <c r="AG54" s="12">
        <v>2025</v>
      </c>
    </row>
    <row r="55" spans="1:33" ht="15.5" x14ac:dyDescent="0.35">
      <c r="A55" s="12">
        <v>394</v>
      </c>
      <c r="B55" s="12" t="s">
        <v>146</v>
      </c>
      <c r="C55" s="12"/>
      <c r="D55" s="12" t="s">
        <v>311</v>
      </c>
      <c r="E55" s="12"/>
      <c r="F55" s="12"/>
      <c r="G55" s="12"/>
      <c r="H55" s="12"/>
      <c r="I55" s="12"/>
      <c r="J55" s="12"/>
      <c r="K55" s="10" t="s">
        <v>274</v>
      </c>
      <c r="L55" s="10" t="s">
        <v>312</v>
      </c>
      <c r="M55" s="10" t="s">
        <v>269</v>
      </c>
      <c r="N55" s="10" t="s">
        <v>288</v>
      </c>
      <c r="O55" s="12" t="s">
        <v>38</v>
      </c>
      <c r="P55" s="12">
        <v>50</v>
      </c>
      <c r="Q55" s="12" t="s">
        <v>271</v>
      </c>
      <c r="R55" s="12" t="s">
        <v>165</v>
      </c>
      <c r="S55" s="12" t="s">
        <v>276</v>
      </c>
      <c r="T55" s="12" t="s">
        <v>159</v>
      </c>
      <c r="U55" s="12" t="s">
        <v>160</v>
      </c>
      <c r="V55" s="12"/>
      <c r="W55" s="12"/>
      <c r="X55" s="12"/>
      <c r="Y55" s="12"/>
      <c r="Z55" s="12"/>
      <c r="AA55" s="12"/>
      <c r="AB55" s="12"/>
      <c r="AC55" s="12" t="str">
        <f>Table1[[#This Row],[City or Community (Contra Costa)]]</f>
        <v>Antioch</v>
      </c>
      <c r="AD55" s="12">
        <f>COUNTIF(D:D,Table1[[#This Row],[City or Community (Contra Costa)]])</f>
        <v>88</v>
      </c>
      <c r="AE55" s="12" t="str">
        <f>Table1[[#This Row],[Please select your county]]</f>
        <v>Contra Costa County</v>
      </c>
      <c r="AF55" s="41">
        <f>COUNTIF(AE:AE,Table1[[#This Row],[County]])</f>
        <v>131</v>
      </c>
      <c r="AG55" s="12">
        <v>2025</v>
      </c>
    </row>
    <row r="56" spans="1:33" ht="15.5" x14ac:dyDescent="0.35">
      <c r="A56" s="12">
        <v>397</v>
      </c>
      <c r="B56" s="12" t="s">
        <v>146</v>
      </c>
      <c r="C56" s="12"/>
      <c r="D56" s="12" t="s">
        <v>311</v>
      </c>
      <c r="E56" s="12"/>
      <c r="F56" s="12"/>
      <c r="G56" s="12"/>
      <c r="H56" s="12"/>
      <c r="I56" s="12"/>
      <c r="J56" s="12"/>
      <c r="K56" s="10" t="s">
        <v>274</v>
      </c>
      <c r="L56" s="10" t="s">
        <v>268</v>
      </c>
      <c r="M56" s="10" t="s">
        <v>269</v>
      </c>
      <c r="N56" s="10" t="s">
        <v>288</v>
      </c>
      <c r="O56" s="12" t="s">
        <v>38</v>
      </c>
      <c r="P56" s="12">
        <v>50</v>
      </c>
      <c r="Q56" s="12" t="s">
        <v>271</v>
      </c>
      <c r="R56" s="12" t="s">
        <v>165</v>
      </c>
      <c r="S56" s="12" t="s">
        <v>276</v>
      </c>
      <c r="T56" s="12" t="s">
        <v>159</v>
      </c>
      <c r="U56" s="12" t="s">
        <v>160</v>
      </c>
      <c r="V56" s="12"/>
      <c r="W56" s="12"/>
      <c r="X56" s="12"/>
      <c r="Y56" s="12"/>
      <c r="Z56" s="12"/>
      <c r="AA56" s="12"/>
      <c r="AB56" s="12"/>
      <c r="AC56" s="12" t="str">
        <f>Table1[[#This Row],[City or Community (Contra Costa)]]</f>
        <v>Antioch</v>
      </c>
      <c r="AD56" s="12">
        <f>COUNTIF(D:D,Table1[[#This Row],[City or Community (Contra Costa)]])</f>
        <v>88</v>
      </c>
      <c r="AE56" s="12" t="str">
        <f>Table1[[#This Row],[Please select your county]]</f>
        <v>Contra Costa County</v>
      </c>
      <c r="AF56" s="41">
        <f>COUNTIF(AE:AE,Table1[[#This Row],[County]])</f>
        <v>131</v>
      </c>
      <c r="AG56" s="12">
        <v>2025</v>
      </c>
    </row>
    <row r="57" spans="1:33" ht="31" x14ac:dyDescent="0.35">
      <c r="A57" s="12">
        <v>488</v>
      </c>
      <c r="B57" s="12" t="s">
        <v>146</v>
      </c>
      <c r="C57" s="12"/>
      <c r="D57" s="12" t="s">
        <v>311</v>
      </c>
      <c r="E57" s="12"/>
      <c r="F57" s="12"/>
      <c r="G57" s="12"/>
      <c r="H57" s="12"/>
      <c r="I57" s="12"/>
      <c r="J57" s="12"/>
      <c r="K57" s="10" t="s">
        <v>273</v>
      </c>
      <c r="L57" s="10" t="s">
        <v>279</v>
      </c>
      <c r="M57" s="10" t="s">
        <v>269</v>
      </c>
      <c r="N57" s="10" t="s">
        <v>280</v>
      </c>
      <c r="O57" s="12" t="s">
        <v>39</v>
      </c>
      <c r="P57" s="12">
        <v>150</v>
      </c>
      <c r="Q57" s="12" t="s">
        <v>271</v>
      </c>
      <c r="R57" s="12" t="s">
        <v>76</v>
      </c>
      <c r="S57" s="12" t="s">
        <v>272</v>
      </c>
      <c r="T57" s="12" t="s">
        <v>83</v>
      </c>
      <c r="U57" s="12" t="s">
        <v>160</v>
      </c>
      <c r="V57" s="12"/>
      <c r="W57" s="12"/>
      <c r="X57" s="12"/>
      <c r="Y57" s="12"/>
      <c r="Z57" s="12"/>
      <c r="AA57" s="12"/>
      <c r="AB57" s="12"/>
      <c r="AC57" s="12" t="str">
        <f>Table1[[#This Row],[City or Community (Contra Costa)]]</f>
        <v>Antioch</v>
      </c>
      <c r="AD57" s="12">
        <f>COUNTIF(D:D,Table1[[#This Row],[City or Community (Contra Costa)]])</f>
        <v>88</v>
      </c>
      <c r="AE57" s="12" t="str">
        <f>Table1[[#This Row],[Please select your county]]</f>
        <v>Contra Costa County</v>
      </c>
      <c r="AF57" s="41">
        <f>COUNTIF(AE:AE,Table1[[#This Row],[County]])</f>
        <v>131</v>
      </c>
      <c r="AG57" s="12">
        <v>2025</v>
      </c>
    </row>
    <row r="58" spans="1:33" ht="15.5" x14ac:dyDescent="0.35">
      <c r="A58" s="12">
        <v>238</v>
      </c>
      <c r="B58" s="12" t="s">
        <v>146</v>
      </c>
      <c r="C58" s="12"/>
      <c r="D58" s="12" t="s">
        <v>311</v>
      </c>
      <c r="E58" s="12"/>
      <c r="F58" s="12"/>
      <c r="G58" s="12"/>
      <c r="H58" s="12"/>
      <c r="I58" s="12"/>
      <c r="J58" s="12"/>
      <c r="K58" s="12" t="s">
        <v>274</v>
      </c>
      <c r="L58" s="12"/>
      <c r="M58" s="12"/>
      <c r="N58" s="12"/>
      <c r="O58" s="12" t="s">
        <v>38</v>
      </c>
      <c r="P58" s="12">
        <v>168</v>
      </c>
      <c r="Q58" s="12" t="s">
        <v>271</v>
      </c>
      <c r="R58" s="12" t="s">
        <v>79</v>
      </c>
      <c r="S58" s="12" t="s">
        <v>272</v>
      </c>
      <c r="T58" s="12" t="s">
        <v>159</v>
      </c>
      <c r="U58" s="12" t="s">
        <v>160</v>
      </c>
      <c r="V58" s="12"/>
      <c r="W58" s="12"/>
      <c r="X58" s="12"/>
      <c r="Y58" s="12"/>
      <c r="Z58" s="12"/>
      <c r="AA58" s="12"/>
      <c r="AB58" s="12"/>
      <c r="AC58" s="12" t="str">
        <f>Table1[[#This Row],[City or Community (Contra Costa)]]</f>
        <v>Antioch</v>
      </c>
      <c r="AD58" s="12">
        <f>COUNTIF(D:D,Table1[[#This Row],[City or Community (Contra Costa)]])</f>
        <v>88</v>
      </c>
      <c r="AE58" s="12" t="str">
        <f>Table1[[#This Row],[Please select your county]]</f>
        <v>Contra Costa County</v>
      </c>
      <c r="AF58" s="41">
        <f>COUNTIF(AE:AE,Table1[[#This Row],[County]])</f>
        <v>131</v>
      </c>
      <c r="AG58" s="12">
        <v>2025</v>
      </c>
    </row>
    <row r="59" spans="1:33" ht="15.5" x14ac:dyDescent="0.35">
      <c r="A59" s="12">
        <v>242</v>
      </c>
      <c r="B59" s="12" t="s">
        <v>146</v>
      </c>
      <c r="C59" s="12"/>
      <c r="D59" s="12" t="s">
        <v>311</v>
      </c>
      <c r="E59" s="12"/>
      <c r="F59" s="12"/>
      <c r="G59" s="12"/>
      <c r="H59" s="12"/>
      <c r="I59" s="12"/>
      <c r="J59" s="12"/>
      <c r="K59" s="10" t="s">
        <v>274</v>
      </c>
      <c r="L59" s="10"/>
      <c r="M59" s="10"/>
      <c r="N59" s="10"/>
      <c r="O59" s="12" t="s">
        <v>38</v>
      </c>
      <c r="P59" s="12">
        <v>200</v>
      </c>
      <c r="Q59" s="12" t="s">
        <v>295</v>
      </c>
      <c r="R59" s="12" t="s">
        <v>67</v>
      </c>
      <c r="S59" s="12" t="s">
        <v>272</v>
      </c>
      <c r="T59" s="12" t="s">
        <v>159</v>
      </c>
      <c r="U59" s="12" t="s">
        <v>160</v>
      </c>
      <c r="V59" s="12"/>
      <c r="W59" s="12"/>
      <c r="X59" s="12"/>
      <c r="Y59" s="12"/>
      <c r="Z59" s="12"/>
      <c r="AA59" s="12"/>
      <c r="AB59" s="12"/>
      <c r="AC59" s="12" t="str">
        <f>Table1[[#This Row],[City or Community (Contra Costa)]]</f>
        <v>Antioch</v>
      </c>
      <c r="AD59" s="12">
        <f>COUNTIF(D:D,Table1[[#This Row],[City or Community (Contra Costa)]])</f>
        <v>88</v>
      </c>
      <c r="AE59" s="12" t="str">
        <f>Table1[[#This Row],[Please select your county]]</f>
        <v>Contra Costa County</v>
      </c>
      <c r="AF59" s="41">
        <f>COUNTIF(AE:AE,Table1[[#This Row],[County]])</f>
        <v>131</v>
      </c>
      <c r="AG59" s="12">
        <v>2025</v>
      </c>
    </row>
    <row r="60" spans="1:33" ht="15.5" x14ac:dyDescent="0.35">
      <c r="A60" s="12">
        <v>171</v>
      </c>
      <c r="B60" s="12" t="s">
        <v>146</v>
      </c>
      <c r="C60" s="12"/>
      <c r="D60" s="12" t="s">
        <v>311</v>
      </c>
      <c r="E60" s="12"/>
      <c r="F60" s="12"/>
      <c r="G60" s="12"/>
      <c r="H60" s="12"/>
      <c r="I60" s="12"/>
      <c r="J60" s="12"/>
      <c r="K60" s="10" t="s">
        <v>267</v>
      </c>
      <c r="L60" s="10"/>
      <c r="M60" s="10"/>
      <c r="N60" s="10"/>
      <c r="O60" s="12" t="s">
        <v>38</v>
      </c>
      <c r="P60" s="12">
        <v>200</v>
      </c>
      <c r="Q60" s="12" t="s">
        <v>295</v>
      </c>
      <c r="R60" s="12" t="s">
        <v>69</v>
      </c>
      <c r="S60" s="12" t="s">
        <v>298</v>
      </c>
      <c r="T60" s="12" t="s">
        <v>159</v>
      </c>
      <c r="U60" s="12" t="s">
        <v>160</v>
      </c>
      <c r="V60" s="12"/>
      <c r="W60" s="12"/>
      <c r="X60" s="12"/>
      <c r="Y60" s="12"/>
      <c r="Z60" s="12"/>
      <c r="AA60" s="12"/>
      <c r="AB60" s="12"/>
      <c r="AC60" s="12" t="str">
        <f>Table1[[#This Row],[City or Community (Contra Costa)]]</f>
        <v>Antioch</v>
      </c>
      <c r="AD60" s="12">
        <f>COUNTIF(D:D,Table1[[#This Row],[City or Community (Contra Costa)]])</f>
        <v>88</v>
      </c>
      <c r="AE60" s="12" t="str">
        <f>Table1[[#This Row],[Please select your county]]</f>
        <v>Contra Costa County</v>
      </c>
      <c r="AF60" s="41">
        <f>COUNTIF(AE:AE,Table1[[#This Row],[County]])</f>
        <v>131</v>
      </c>
      <c r="AG60" s="12">
        <v>2025</v>
      </c>
    </row>
    <row r="61" spans="1:33" ht="31" x14ac:dyDescent="0.35">
      <c r="A61" s="12">
        <v>473</v>
      </c>
      <c r="B61" s="12" t="s">
        <v>146</v>
      </c>
      <c r="C61" s="12"/>
      <c r="D61" s="12" t="s">
        <v>311</v>
      </c>
      <c r="E61" s="12"/>
      <c r="F61" s="12"/>
      <c r="G61" s="12"/>
      <c r="H61" s="12"/>
      <c r="I61" s="12"/>
      <c r="J61" s="12"/>
      <c r="K61" s="10" t="s">
        <v>294</v>
      </c>
      <c r="L61" s="10" t="s">
        <v>268</v>
      </c>
      <c r="M61" s="10" t="s">
        <v>269</v>
      </c>
      <c r="N61" s="10" t="s">
        <v>280</v>
      </c>
      <c r="O61" s="12" t="s">
        <v>38</v>
      </c>
      <c r="P61" s="12">
        <v>240</v>
      </c>
      <c r="Q61" s="12" t="s">
        <v>271</v>
      </c>
      <c r="R61" s="12" t="s">
        <v>79</v>
      </c>
      <c r="S61" s="12" t="s">
        <v>276</v>
      </c>
      <c r="T61" s="12" t="s">
        <v>159</v>
      </c>
      <c r="U61" s="12" t="s">
        <v>160</v>
      </c>
      <c r="V61" s="12"/>
      <c r="W61" s="12"/>
      <c r="X61" s="12"/>
      <c r="Y61" s="12"/>
      <c r="Z61" s="12"/>
      <c r="AA61" s="12"/>
      <c r="AB61" s="12"/>
      <c r="AC61" s="12" t="str">
        <f>Table1[[#This Row],[City or Community (Contra Costa)]]</f>
        <v>Antioch</v>
      </c>
      <c r="AD61" s="12">
        <f>COUNTIF(D:D,Table1[[#This Row],[City or Community (Contra Costa)]])</f>
        <v>88</v>
      </c>
      <c r="AE61" s="12" t="str">
        <f>Table1[[#This Row],[Please select your county]]</f>
        <v>Contra Costa County</v>
      </c>
      <c r="AF61" s="41">
        <f>COUNTIF(AE:AE,Table1[[#This Row],[County]])</f>
        <v>131</v>
      </c>
      <c r="AG61" s="12">
        <v>2025</v>
      </c>
    </row>
    <row r="62" spans="1:33" ht="31" x14ac:dyDescent="0.35">
      <c r="A62" s="12">
        <v>430</v>
      </c>
      <c r="B62" s="12" t="s">
        <v>146</v>
      </c>
      <c r="C62" s="12"/>
      <c r="D62" s="12" t="s">
        <v>311</v>
      </c>
      <c r="E62" s="12"/>
      <c r="F62" s="12"/>
      <c r="G62" s="12"/>
      <c r="H62" s="12"/>
      <c r="I62" s="12"/>
      <c r="J62" s="12"/>
      <c r="K62" s="10" t="s">
        <v>287</v>
      </c>
      <c r="L62" s="10" t="s">
        <v>313</v>
      </c>
      <c r="M62" s="10" t="s">
        <v>269</v>
      </c>
      <c r="N62" s="10" t="s">
        <v>280</v>
      </c>
      <c r="O62" s="12" t="s">
        <v>38</v>
      </c>
      <c r="P62" s="12">
        <v>250</v>
      </c>
      <c r="Q62" s="12" t="s">
        <v>271</v>
      </c>
      <c r="R62" s="12" t="s">
        <v>79</v>
      </c>
      <c r="S62" s="12" t="s">
        <v>272</v>
      </c>
      <c r="T62" s="12" t="s">
        <v>159</v>
      </c>
      <c r="U62" s="12" t="s">
        <v>160</v>
      </c>
      <c r="V62" s="12"/>
      <c r="W62" s="12"/>
      <c r="X62" s="12"/>
      <c r="Y62" s="12"/>
      <c r="Z62" s="12"/>
      <c r="AA62" s="12"/>
      <c r="AB62" s="12"/>
      <c r="AC62" s="12" t="str">
        <f>Table1[[#This Row],[City or Community (Contra Costa)]]</f>
        <v>Antioch</v>
      </c>
      <c r="AD62" s="12">
        <f>COUNTIF(D:D,Table1[[#This Row],[City or Community (Contra Costa)]])</f>
        <v>88</v>
      </c>
      <c r="AE62" s="12" t="str">
        <f>Table1[[#This Row],[Please select your county]]</f>
        <v>Contra Costa County</v>
      </c>
      <c r="AF62" s="41">
        <f>COUNTIF(AE:AE,Table1[[#This Row],[County]])</f>
        <v>131</v>
      </c>
      <c r="AG62" s="12">
        <v>2025</v>
      </c>
    </row>
    <row r="63" spans="1:33" ht="15.5" x14ac:dyDescent="0.35">
      <c r="A63" s="12">
        <v>274</v>
      </c>
      <c r="B63" s="12" t="s">
        <v>146</v>
      </c>
      <c r="C63" s="12"/>
      <c r="D63" s="12" t="s">
        <v>311</v>
      </c>
      <c r="E63" s="12"/>
      <c r="F63" s="12"/>
      <c r="G63" s="12"/>
      <c r="H63" s="12"/>
      <c r="I63" s="12"/>
      <c r="J63" s="12"/>
      <c r="K63" s="10" t="s">
        <v>267</v>
      </c>
      <c r="L63" s="10"/>
      <c r="M63" s="10"/>
      <c r="N63" s="10"/>
      <c r="O63" s="12" t="s">
        <v>38</v>
      </c>
      <c r="P63" s="12">
        <v>250</v>
      </c>
      <c r="Q63" s="12" t="s">
        <v>271</v>
      </c>
      <c r="R63" s="12" t="s">
        <v>67</v>
      </c>
      <c r="S63" s="12" t="s">
        <v>276</v>
      </c>
      <c r="T63" s="12" t="s">
        <v>159</v>
      </c>
      <c r="U63" s="12" t="s">
        <v>160</v>
      </c>
      <c r="V63" s="12"/>
      <c r="W63" s="12"/>
      <c r="X63" s="12"/>
      <c r="Y63" s="12"/>
      <c r="Z63" s="12"/>
      <c r="AA63" s="12"/>
      <c r="AB63" s="12"/>
      <c r="AC63" s="12" t="str">
        <f>Table1[[#This Row],[City or Community (Contra Costa)]]</f>
        <v>Antioch</v>
      </c>
      <c r="AD63" s="12">
        <f>COUNTIF(D:D,Table1[[#This Row],[City or Community (Contra Costa)]])</f>
        <v>88</v>
      </c>
      <c r="AE63" s="12" t="str">
        <f>Table1[[#This Row],[Please select your county]]</f>
        <v>Contra Costa County</v>
      </c>
      <c r="AF63" s="41">
        <f>COUNTIF(AE:AE,Table1[[#This Row],[County]])</f>
        <v>131</v>
      </c>
      <c r="AG63" s="12">
        <v>2025</v>
      </c>
    </row>
    <row r="64" spans="1:33" ht="15.5" x14ac:dyDescent="0.35">
      <c r="A64" s="12">
        <v>275</v>
      </c>
      <c r="B64" s="12" t="s">
        <v>146</v>
      </c>
      <c r="C64" s="12"/>
      <c r="D64" s="12" t="s">
        <v>311</v>
      </c>
      <c r="E64" s="12"/>
      <c r="F64" s="12"/>
      <c r="G64" s="12"/>
      <c r="H64" s="12"/>
      <c r="I64" s="12"/>
      <c r="J64" s="12"/>
      <c r="K64" s="10" t="s">
        <v>267</v>
      </c>
      <c r="L64" s="10"/>
      <c r="M64" s="10"/>
      <c r="N64" s="10"/>
      <c r="O64" s="12" t="s">
        <v>38</v>
      </c>
      <c r="P64" s="12">
        <v>250</v>
      </c>
      <c r="Q64" s="12" t="s">
        <v>271</v>
      </c>
      <c r="R64" s="12" t="s">
        <v>67</v>
      </c>
      <c r="S64" s="12" t="s">
        <v>276</v>
      </c>
      <c r="T64" s="12" t="s">
        <v>159</v>
      </c>
      <c r="U64" s="12" t="s">
        <v>160</v>
      </c>
      <c r="V64" s="12"/>
      <c r="W64" s="12"/>
      <c r="X64" s="12"/>
      <c r="Y64" s="12"/>
      <c r="Z64" s="12"/>
      <c r="AA64" s="12"/>
      <c r="AB64" s="12"/>
      <c r="AC64" s="12" t="str">
        <f>Table1[[#This Row],[City or Community (Contra Costa)]]</f>
        <v>Antioch</v>
      </c>
      <c r="AD64" s="12">
        <f>COUNTIF(D:D,Table1[[#This Row],[City or Community (Contra Costa)]])</f>
        <v>88</v>
      </c>
      <c r="AE64" s="12" t="str">
        <f>Table1[[#This Row],[Please select your county]]</f>
        <v>Contra Costa County</v>
      </c>
      <c r="AF64" s="41">
        <f>COUNTIF(AE:AE,Table1[[#This Row],[County]])</f>
        <v>131</v>
      </c>
      <c r="AG64" s="12">
        <v>2025</v>
      </c>
    </row>
    <row r="65" spans="1:33" ht="31" x14ac:dyDescent="0.35">
      <c r="A65" s="12">
        <v>486</v>
      </c>
      <c r="B65" s="12" t="s">
        <v>146</v>
      </c>
      <c r="C65" s="12"/>
      <c r="D65" s="12" t="s">
        <v>311</v>
      </c>
      <c r="E65" s="12"/>
      <c r="F65" s="12"/>
      <c r="G65" s="12"/>
      <c r="H65" s="12"/>
      <c r="I65" s="12"/>
      <c r="J65" s="12"/>
      <c r="K65" s="10" t="s">
        <v>267</v>
      </c>
      <c r="L65" s="10" t="s">
        <v>313</v>
      </c>
      <c r="M65" s="10" t="s">
        <v>269</v>
      </c>
      <c r="N65" s="10" t="s">
        <v>280</v>
      </c>
      <c r="O65" s="12" t="s">
        <v>38</v>
      </c>
      <c r="P65" s="12">
        <v>250</v>
      </c>
      <c r="Q65" s="12" t="s">
        <v>271</v>
      </c>
      <c r="R65" s="12" t="s">
        <v>165</v>
      </c>
      <c r="S65" s="12" t="s">
        <v>314</v>
      </c>
      <c r="T65" s="12" t="s">
        <v>83</v>
      </c>
      <c r="U65" s="12" t="s">
        <v>160</v>
      </c>
      <c r="V65" s="12"/>
      <c r="W65" s="12"/>
      <c r="X65" s="12"/>
      <c r="Y65" s="12"/>
      <c r="Z65" s="12"/>
      <c r="AA65" s="12"/>
      <c r="AB65" s="12"/>
      <c r="AC65" s="12" t="str">
        <f>Table1[[#This Row],[City or Community (Contra Costa)]]</f>
        <v>Antioch</v>
      </c>
      <c r="AD65" s="12">
        <f>COUNTIF(D:D,Table1[[#This Row],[City or Community (Contra Costa)]])</f>
        <v>88</v>
      </c>
      <c r="AE65" s="12" t="str">
        <f>Table1[[#This Row],[Please select your county]]</f>
        <v>Contra Costa County</v>
      </c>
      <c r="AF65" s="41">
        <f>COUNTIF(AE:AE,Table1[[#This Row],[County]])</f>
        <v>131</v>
      </c>
      <c r="AG65" s="12">
        <v>2025</v>
      </c>
    </row>
    <row r="66" spans="1:33" ht="31" x14ac:dyDescent="0.35">
      <c r="A66" s="12">
        <v>487</v>
      </c>
      <c r="B66" s="12" t="s">
        <v>146</v>
      </c>
      <c r="C66" s="12"/>
      <c r="D66" s="12" t="s">
        <v>311</v>
      </c>
      <c r="E66" s="12"/>
      <c r="F66" s="12"/>
      <c r="G66" s="12"/>
      <c r="H66" s="12"/>
      <c r="I66" s="12"/>
      <c r="J66" s="12"/>
      <c r="K66" s="10" t="s">
        <v>267</v>
      </c>
      <c r="L66" s="10" t="s">
        <v>313</v>
      </c>
      <c r="M66" s="10" t="s">
        <v>269</v>
      </c>
      <c r="N66" s="10" t="s">
        <v>280</v>
      </c>
      <c r="O66" s="12" t="s">
        <v>38</v>
      </c>
      <c r="P66" s="12">
        <v>250</v>
      </c>
      <c r="Q66" s="12" t="s">
        <v>271</v>
      </c>
      <c r="R66" s="12" t="s">
        <v>165</v>
      </c>
      <c r="S66" s="12" t="s">
        <v>315</v>
      </c>
      <c r="T66" s="12" t="s">
        <v>83</v>
      </c>
      <c r="U66" s="12" t="s">
        <v>160</v>
      </c>
      <c r="V66" s="12"/>
      <c r="W66" s="12"/>
      <c r="X66" s="12"/>
      <c r="Y66" s="12"/>
      <c r="Z66" s="12"/>
      <c r="AA66" s="12"/>
      <c r="AB66" s="12"/>
      <c r="AC66" s="12" t="str">
        <f>Table1[[#This Row],[City or Community (Contra Costa)]]</f>
        <v>Antioch</v>
      </c>
      <c r="AD66" s="12">
        <f>COUNTIF(D:D,Table1[[#This Row],[City or Community (Contra Costa)]])</f>
        <v>88</v>
      </c>
      <c r="AE66" s="12" t="str">
        <f>Table1[[#This Row],[Please select your county]]</f>
        <v>Contra Costa County</v>
      </c>
      <c r="AF66" s="41">
        <f>COUNTIF(AE:AE,Table1[[#This Row],[County]])</f>
        <v>131</v>
      </c>
      <c r="AG66" s="12">
        <v>2025</v>
      </c>
    </row>
    <row r="67" spans="1:33" ht="31" x14ac:dyDescent="0.35">
      <c r="A67" s="12">
        <v>494</v>
      </c>
      <c r="B67" s="12" t="s">
        <v>146</v>
      </c>
      <c r="C67" s="12"/>
      <c r="D67" s="12" t="s">
        <v>311</v>
      </c>
      <c r="E67" s="12"/>
      <c r="F67" s="12"/>
      <c r="G67" s="12"/>
      <c r="H67" s="12"/>
      <c r="I67" s="12"/>
      <c r="J67" s="12"/>
      <c r="K67" s="10" t="s">
        <v>316</v>
      </c>
      <c r="L67" s="10" t="s">
        <v>279</v>
      </c>
      <c r="M67" s="10" t="s">
        <v>317</v>
      </c>
      <c r="N67" s="10" t="s">
        <v>280</v>
      </c>
      <c r="O67" s="12" t="s">
        <v>38</v>
      </c>
      <c r="P67" s="12">
        <v>300</v>
      </c>
      <c r="Q67" s="12" t="s">
        <v>281</v>
      </c>
      <c r="R67" s="12" t="s">
        <v>68</v>
      </c>
      <c r="S67" s="12" t="s">
        <v>276</v>
      </c>
      <c r="T67" s="12" t="s">
        <v>159</v>
      </c>
      <c r="U67" s="12" t="s">
        <v>160</v>
      </c>
      <c r="V67" s="12"/>
      <c r="W67" s="12"/>
      <c r="X67" s="12"/>
      <c r="Y67" s="12"/>
      <c r="Z67" s="12"/>
      <c r="AA67" s="12"/>
      <c r="AB67" s="12"/>
      <c r="AC67" s="12" t="str">
        <f>Table1[[#This Row],[City or Community (Contra Costa)]]</f>
        <v>Antioch</v>
      </c>
      <c r="AD67" s="12">
        <f>COUNTIF(D:D,Table1[[#This Row],[City or Community (Contra Costa)]])</f>
        <v>88</v>
      </c>
      <c r="AE67" s="12" t="str">
        <f>Table1[[#This Row],[Please select your county]]</f>
        <v>Contra Costa County</v>
      </c>
      <c r="AF67" s="41">
        <f>COUNTIF(AE:AE,Table1[[#This Row],[County]])</f>
        <v>131</v>
      </c>
      <c r="AG67" s="12">
        <v>2025</v>
      </c>
    </row>
    <row r="68" spans="1:33" ht="15.5" x14ac:dyDescent="0.35">
      <c r="A68" s="12">
        <v>572</v>
      </c>
      <c r="B68" s="12" t="s">
        <v>146</v>
      </c>
      <c r="C68" s="12"/>
      <c r="D68" s="12" t="s">
        <v>311</v>
      </c>
      <c r="E68" s="12"/>
      <c r="F68" s="12"/>
      <c r="G68" s="12"/>
      <c r="H68" s="12"/>
      <c r="I68" s="12"/>
      <c r="J68" s="12"/>
      <c r="K68" s="12" t="s">
        <v>287</v>
      </c>
      <c r="L68" s="12" t="s">
        <v>277</v>
      </c>
      <c r="M68" s="12" t="s">
        <v>269</v>
      </c>
      <c r="N68" s="12" t="s">
        <v>280</v>
      </c>
      <c r="O68" s="12" t="s">
        <v>38</v>
      </c>
      <c r="P68" s="12">
        <v>300</v>
      </c>
      <c r="Q68" s="12" t="s">
        <v>271</v>
      </c>
      <c r="R68" s="12" t="s">
        <v>79</v>
      </c>
      <c r="S68" s="12" t="s">
        <v>272</v>
      </c>
      <c r="T68" s="12" t="s">
        <v>83</v>
      </c>
      <c r="U68" s="12" t="s">
        <v>159</v>
      </c>
      <c r="V68" s="12" t="s">
        <v>163</v>
      </c>
      <c r="W68" s="12" t="s">
        <v>299</v>
      </c>
      <c r="X68" s="12"/>
      <c r="Y68" s="12" t="s">
        <v>290</v>
      </c>
      <c r="Z68" s="12"/>
      <c r="AA68" s="12" t="s">
        <v>286</v>
      </c>
      <c r="AB68" s="12" t="s">
        <v>187</v>
      </c>
      <c r="AC68" s="12" t="str">
        <f>Table1[[#This Row],[City or Community (Contra Costa)]]</f>
        <v>Antioch</v>
      </c>
      <c r="AD68" s="12">
        <f>COUNTIF(D:D,Table1[[#This Row],[City or Community (Contra Costa)]])</f>
        <v>88</v>
      </c>
      <c r="AE68" s="12" t="str">
        <f>Table1[[#This Row],[Please select your county]]</f>
        <v>Contra Costa County</v>
      </c>
      <c r="AF68" s="41">
        <f>COUNTIF(AE:AE,Table1[[#This Row],[County]])</f>
        <v>131</v>
      </c>
      <c r="AG68" s="12">
        <v>2025</v>
      </c>
    </row>
    <row r="69" spans="1:33" ht="31" x14ac:dyDescent="0.35">
      <c r="A69" s="12">
        <v>379</v>
      </c>
      <c r="B69" s="12" t="s">
        <v>146</v>
      </c>
      <c r="C69" s="12"/>
      <c r="D69" s="12" t="s">
        <v>311</v>
      </c>
      <c r="E69" s="12"/>
      <c r="F69" s="12"/>
      <c r="G69" s="12"/>
      <c r="H69" s="12"/>
      <c r="I69" s="12"/>
      <c r="J69" s="12"/>
      <c r="K69" s="10" t="s">
        <v>267</v>
      </c>
      <c r="L69" s="10" t="s">
        <v>268</v>
      </c>
      <c r="M69" s="10" t="s">
        <v>269</v>
      </c>
      <c r="N69" s="10" t="s">
        <v>280</v>
      </c>
      <c r="O69" s="12" t="s">
        <v>38</v>
      </c>
      <c r="P69" s="12">
        <v>300</v>
      </c>
      <c r="Q69" s="12" t="s">
        <v>271</v>
      </c>
      <c r="R69" s="12" t="s">
        <v>67</v>
      </c>
      <c r="S69" s="12" t="s">
        <v>276</v>
      </c>
      <c r="T69" s="12" t="s">
        <v>159</v>
      </c>
      <c r="U69" s="12" t="s">
        <v>160</v>
      </c>
      <c r="V69" s="12"/>
      <c r="W69" s="12"/>
      <c r="X69" s="12"/>
      <c r="Y69" s="12"/>
      <c r="Z69" s="12"/>
      <c r="AA69" s="12"/>
      <c r="AB69" s="12"/>
      <c r="AC69" s="12" t="str">
        <f>Table1[[#This Row],[City or Community (Contra Costa)]]</f>
        <v>Antioch</v>
      </c>
      <c r="AD69" s="12">
        <f>COUNTIF(D:D,Table1[[#This Row],[City or Community (Contra Costa)]])</f>
        <v>88</v>
      </c>
      <c r="AE69" s="12" t="str">
        <f>Table1[[#This Row],[Please select your county]]</f>
        <v>Contra Costa County</v>
      </c>
      <c r="AF69" s="41">
        <f>COUNTIF(AE:AE,Table1[[#This Row],[County]])</f>
        <v>131</v>
      </c>
      <c r="AG69" s="12">
        <v>2025</v>
      </c>
    </row>
    <row r="70" spans="1:33" ht="15.5" x14ac:dyDescent="0.35">
      <c r="A70" s="12">
        <v>280</v>
      </c>
      <c r="B70" s="12" t="s">
        <v>146</v>
      </c>
      <c r="C70" s="12"/>
      <c r="D70" s="12" t="s">
        <v>311</v>
      </c>
      <c r="E70" s="12"/>
      <c r="F70" s="12"/>
      <c r="G70" s="12"/>
      <c r="H70" s="12"/>
      <c r="I70" s="12"/>
      <c r="J70" s="12"/>
      <c r="K70" s="10" t="s">
        <v>294</v>
      </c>
      <c r="L70" s="10"/>
      <c r="M70" s="10"/>
      <c r="N70" s="10"/>
      <c r="O70" s="12" t="s">
        <v>38</v>
      </c>
      <c r="P70" s="12">
        <v>350</v>
      </c>
      <c r="Q70" s="12" t="s">
        <v>271</v>
      </c>
      <c r="R70" s="12" t="s">
        <v>79</v>
      </c>
      <c r="S70" s="12" t="s">
        <v>272</v>
      </c>
      <c r="T70" s="12" t="s">
        <v>159</v>
      </c>
      <c r="U70" s="12" t="s">
        <v>160</v>
      </c>
      <c r="V70" s="12"/>
      <c r="W70" s="12"/>
      <c r="X70" s="12"/>
      <c r="Y70" s="12"/>
      <c r="Z70" s="12"/>
      <c r="AA70" s="12"/>
      <c r="AB70" s="12"/>
      <c r="AC70" s="12" t="str">
        <f>Table1[[#This Row],[City or Community (Contra Costa)]]</f>
        <v>Antioch</v>
      </c>
      <c r="AD70" s="12">
        <f>COUNTIF(D:D,Table1[[#This Row],[City or Community (Contra Costa)]])</f>
        <v>88</v>
      </c>
      <c r="AE70" s="12" t="str">
        <f>Table1[[#This Row],[Please select your county]]</f>
        <v>Contra Costa County</v>
      </c>
      <c r="AF70" s="41">
        <f>COUNTIF(AE:AE,Table1[[#This Row],[County]])</f>
        <v>131</v>
      </c>
      <c r="AG70" s="12">
        <v>2025</v>
      </c>
    </row>
    <row r="71" spans="1:33" ht="15.5" x14ac:dyDescent="0.35">
      <c r="A71" s="12">
        <v>322</v>
      </c>
      <c r="B71" s="12" t="s">
        <v>146</v>
      </c>
      <c r="C71" s="12"/>
      <c r="D71" s="12" t="s">
        <v>311</v>
      </c>
      <c r="E71" s="12"/>
      <c r="F71" s="12"/>
      <c r="G71" s="12"/>
      <c r="H71" s="12"/>
      <c r="I71" s="12"/>
      <c r="J71" s="12"/>
      <c r="K71" s="10" t="s">
        <v>294</v>
      </c>
      <c r="L71" s="10"/>
      <c r="M71" s="10"/>
      <c r="N71" s="10"/>
      <c r="O71" s="12" t="s">
        <v>38</v>
      </c>
      <c r="P71" s="12">
        <v>350</v>
      </c>
      <c r="Q71" s="12" t="s">
        <v>271</v>
      </c>
      <c r="R71" s="12" t="s">
        <v>79</v>
      </c>
      <c r="S71" s="12" t="s">
        <v>276</v>
      </c>
      <c r="T71" s="12" t="s">
        <v>159</v>
      </c>
      <c r="U71" s="12" t="s">
        <v>160</v>
      </c>
      <c r="V71" s="12"/>
      <c r="W71" s="12"/>
      <c r="X71" s="12"/>
      <c r="Y71" s="12"/>
      <c r="Z71" s="12"/>
      <c r="AA71" s="12"/>
      <c r="AB71" s="12"/>
      <c r="AC71" s="12" t="str">
        <f>Table1[[#This Row],[City or Community (Contra Costa)]]</f>
        <v>Antioch</v>
      </c>
      <c r="AD71" s="12">
        <f>COUNTIF(D:D,Table1[[#This Row],[City or Community (Contra Costa)]])</f>
        <v>88</v>
      </c>
      <c r="AE71" s="12" t="str">
        <f>Table1[[#This Row],[Please select your county]]</f>
        <v>Contra Costa County</v>
      </c>
      <c r="AF71" s="41">
        <f>COUNTIF(AE:AE,Table1[[#This Row],[County]])</f>
        <v>131</v>
      </c>
      <c r="AG71" s="12">
        <v>2025</v>
      </c>
    </row>
    <row r="72" spans="1:33" ht="31" x14ac:dyDescent="0.35">
      <c r="A72" s="12">
        <v>592</v>
      </c>
      <c r="B72" s="12" t="s">
        <v>146</v>
      </c>
      <c r="C72" s="12"/>
      <c r="D72" s="12" t="s">
        <v>311</v>
      </c>
      <c r="E72" s="12"/>
      <c r="F72" s="12"/>
      <c r="G72" s="12"/>
      <c r="H72" s="12"/>
      <c r="I72" s="12"/>
      <c r="J72" s="12"/>
      <c r="K72" s="10" t="s">
        <v>267</v>
      </c>
      <c r="L72" s="10" t="s">
        <v>312</v>
      </c>
      <c r="M72" s="10" t="s">
        <v>303</v>
      </c>
      <c r="N72" s="10" t="s">
        <v>280</v>
      </c>
      <c r="O72" s="12" t="s">
        <v>38</v>
      </c>
      <c r="P72" s="12">
        <v>350</v>
      </c>
      <c r="Q72" s="12" t="s">
        <v>281</v>
      </c>
      <c r="R72" s="12" t="s">
        <v>67</v>
      </c>
      <c r="S72" s="12" t="s">
        <v>272</v>
      </c>
      <c r="T72" s="12" t="s">
        <v>159</v>
      </c>
      <c r="U72" s="12" t="s">
        <v>160</v>
      </c>
      <c r="V72" s="12"/>
      <c r="W72" s="12"/>
      <c r="X72" s="12"/>
      <c r="Y72" s="12"/>
      <c r="Z72" s="12"/>
      <c r="AA72" s="12"/>
      <c r="AB72" s="12"/>
      <c r="AC72" s="12" t="str">
        <f>Table1[[#This Row],[City or Community (Contra Costa)]]</f>
        <v>Antioch</v>
      </c>
      <c r="AD72" s="12">
        <f>COUNTIF(D:D,Table1[[#This Row],[City or Community (Contra Costa)]])</f>
        <v>88</v>
      </c>
      <c r="AE72" s="12" t="str">
        <f>Table1[[#This Row],[Please select your county]]</f>
        <v>Contra Costa County</v>
      </c>
      <c r="AF72" s="41">
        <f>COUNTIF(AE:AE,Table1[[#This Row],[County]])</f>
        <v>131</v>
      </c>
      <c r="AG72" s="12">
        <v>2025</v>
      </c>
    </row>
    <row r="73" spans="1:33" ht="15.5" x14ac:dyDescent="0.35">
      <c r="A73" s="12">
        <v>268</v>
      </c>
      <c r="B73" s="12" t="s">
        <v>146</v>
      </c>
      <c r="C73" s="12"/>
      <c r="D73" s="12" t="s">
        <v>311</v>
      </c>
      <c r="E73" s="12"/>
      <c r="F73" s="12"/>
      <c r="G73" s="12"/>
      <c r="H73" s="12"/>
      <c r="I73" s="12"/>
      <c r="J73" s="12"/>
      <c r="K73" s="10" t="s">
        <v>274</v>
      </c>
      <c r="L73" s="10"/>
      <c r="M73" s="10"/>
      <c r="N73" s="10"/>
      <c r="O73" s="12" t="s">
        <v>38</v>
      </c>
      <c r="P73" s="12">
        <v>374</v>
      </c>
      <c r="Q73" s="12" t="s">
        <v>281</v>
      </c>
      <c r="R73" s="12" t="s">
        <v>79</v>
      </c>
      <c r="S73" s="12" t="s">
        <v>272</v>
      </c>
      <c r="T73" s="12" t="s">
        <v>83</v>
      </c>
      <c r="U73" s="12" t="s">
        <v>160</v>
      </c>
      <c r="V73" s="12"/>
      <c r="W73" s="12"/>
      <c r="X73" s="12"/>
      <c r="Y73" s="12"/>
      <c r="Z73" s="12"/>
      <c r="AA73" s="12"/>
      <c r="AB73" s="12"/>
      <c r="AC73" s="12" t="str">
        <f>Table1[[#This Row],[City or Community (Contra Costa)]]</f>
        <v>Antioch</v>
      </c>
      <c r="AD73" s="12">
        <f>COUNTIF(D:D,Table1[[#This Row],[City or Community (Contra Costa)]])</f>
        <v>88</v>
      </c>
      <c r="AE73" s="12" t="str">
        <f>Table1[[#This Row],[Please select your county]]</f>
        <v>Contra Costa County</v>
      </c>
      <c r="AF73" s="41">
        <f>COUNTIF(AE:AE,Table1[[#This Row],[County]])</f>
        <v>131</v>
      </c>
      <c r="AG73" s="12">
        <v>2025</v>
      </c>
    </row>
    <row r="74" spans="1:33" ht="15.5" x14ac:dyDescent="0.35">
      <c r="A74" s="12">
        <v>141</v>
      </c>
      <c r="B74" s="12" t="s">
        <v>146</v>
      </c>
      <c r="C74" s="12"/>
      <c r="D74" s="12" t="s">
        <v>311</v>
      </c>
      <c r="E74" s="12"/>
      <c r="F74" s="12"/>
      <c r="G74" s="12"/>
      <c r="H74" s="12"/>
      <c r="I74" s="12"/>
      <c r="J74" s="12"/>
      <c r="K74" s="10" t="s">
        <v>274</v>
      </c>
      <c r="L74" s="10"/>
      <c r="M74" s="10"/>
      <c r="N74" s="10"/>
      <c r="O74" s="12" t="s">
        <v>38</v>
      </c>
      <c r="P74" s="12">
        <v>375</v>
      </c>
      <c r="Q74" s="12" t="s">
        <v>281</v>
      </c>
      <c r="R74" s="12" t="s">
        <v>68</v>
      </c>
      <c r="S74" s="12" t="s">
        <v>297</v>
      </c>
      <c r="T74" s="12" t="s">
        <v>159</v>
      </c>
      <c r="U74" s="12" t="s">
        <v>159</v>
      </c>
      <c r="V74" s="12" t="s">
        <v>163</v>
      </c>
      <c r="W74" s="12" t="s">
        <v>318</v>
      </c>
      <c r="X74" s="12"/>
      <c r="Y74" s="12" t="s">
        <v>319</v>
      </c>
      <c r="Z74" s="12"/>
      <c r="AA74" s="12" t="s">
        <v>300</v>
      </c>
      <c r="AB74" s="12" t="s">
        <v>186</v>
      </c>
      <c r="AC74" s="12" t="str">
        <f>Table1[[#This Row],[City or Community (Contra Costa)]]</f>
        <v>Antioch</v>
      </c>
      <c r="AD74" s="12">
        <f>COUNTIF(D:D,Table1[[#This Row],[City or Community (Contra Costa)]])</f>
        <v>88</v>
      </c>
      <c r="AE74" s="12" t="str">
        <f>Table1[[#This Row],[Please select your county]]</f>
        <v>Contra Costa County</v>
      </c>
      <c r="AF74" s="41">
        <f>COUNTIF(AE:AE,Table1[[#This Row],[County]])</f>
        <v>131</v>
      </c>
      <c r="AG74" s="12">
        <v>2025</v>
      </c>
    </row>
    <row r="75" spans="1:33" ht="15.5" x14ac:dyDescent="0.35">
      <c r="A75" s="12">
        <v>139</v>
      </c>
      <c r="B75" s="12" t="s">
        <v>146</v>
      </c>
      <c r="C75" s="12"/>
      <c r="D75" s="12" t="s">
        <v>311</v>
      </c>
      <c r="E75" s="12"/>
      <c r="F75" s="12"/>
      <c r="G75" s="12"/>
      <c r="H75" s="12"/>
      <c r="I75" s="12"/>
      <c r="J75" s="12"/>
      <c r="K75" s="10" t="s">
        <v>274</v>
      </c>
      <c r="L75" s="10"/>
      <c r="M75" s="10"/>
      <c r="N75" s="10"/>
      <c r="O75" s="12" t="s">
        <v>38</v>
      </c>
      <c r="P75" s="12">
        <v>385</v>
      </c>
      <c r="Q75" s="12" t="s">
        <v>271</v>
      </c>
      <c r="R75" s="12" t="s">
        <v>69</v>
      </c>
      <c r="S75" s="12" t="s">
        <v>320</v>
      </c>
      <c r="T75" s="12" t="s">
        <v>160</v>
      </c>
      <c r="U75" s="12" t="s">
        <v>159</v>
      </c>
      <c r="V75" s="12" t="s">
        <v>164</v>
      </c>
      <c r="W75" s="12" t="s">
        <v>318</v>
      </c>
      <c r="X75" s="12"/>
      <c r="Y75" s="12" t="s">
        <v>290</v>
      </c>
      <c r="Z75" s="12"/>
      <c r="AA75" s="12" t="s">
        <v>291</v>
      </c>
      <c r="AB75" s="12" t="s">
        <v>189</v>
      </c>
      <c r="AC75" s="12" t="str">
        <f>Table1[[#This Row],[City or Community (Contra Costa)]]</f>
        <v>Antioch</v>
      </c>
      <c r="AD75" s="12">
        <f>COUNTIF(D:D,Table1[[#This Row],[City or Community (Contra Costa)]])</f>
        <v>88</v>
      </c>
      <c r="AE75" s="12" t="str">
        <f>Table1[[#This Row],[Please select your county]]</f>
        <v>Contra Costa County</v>
      </c>
      <c r="AF75" s="41">
        <f>COUNTIF(AE:AE,Table1[[#This Row],[County]])</f>
        <v>131</v>
      </c>
      <c r="AG75" s="12">
        <v>2025</v>
      </c>
    </row>
    <row r="76" spans="1:33" ht="31" x14ac:dyDescent="0.35">
      <c r="A76" s="12">
        <v>344</v>
      </c>
      <c r="B76" s="12" t="s">
        <v>146</v>
      </c>
      <c r="C76" s="12"/>
      <c r="D76" s="12" t="s">
        <v>311</v>
      </c>
      <c r="E76" s="12"/>
      <c r="F76" s="12"/>
      <c r="G76" s="12"/>
      <c r="H76" s="12"/>
      <c r="I76" s="12"/>
      <c r="J76" s="12"/>
      <c r="K76" s="10" t="s">
        <v>296</v>
      </c>
      <c r="L76" s="10" t="s">
        <v>279</v>
      </c>
      <c r="M76" s="10" t="s">
        <v>269</v>
      </c>
      <c r="N76" s="10" t="s">
        <v>280</v>
      </c>
      <c r="O76" s="12" t="s">
        <v>38</v>
      </c>
      <c r="P76" s="12">
        <v>392</v>
      </c>
      <c r="Q76" s="12" t="s">
        <v>271</v>
      </c>
      <c r="R76" s="12" t="s">
        <v>67</v>
      </c>
      <c r="S76" s="12" t="s">
        <v>276</v>
      </c>
      <c r="T76" s="12" t="s">
        <v>159</v>
      </c>
      <c r="U76" s="12" t="s">
        <v>160</v>
      </c>
      <c r="V76" s="12"/>
      <c r="W76" s="12"/>
      <c r="X76" s="12"/>
      <c r="Y76" s="12"/>
      <c r="Z76" s="12"/>
      <c r="AA76" s="12"/>
      <c r="AB76" s="12"/>
      <c r="AC76" s="12" t="str">
        <f>Table1[[#This Row],[City or Community (Contra Costa)]]</f>
        <v>Antioch</v>
      </c>
      <c r="AD76" s="12">
        <f>COUNTIF(D:D,Table1[[#This Row],[City or Community (Contra Costa)]])</f>
        <v>88</v>
      </c>
      <c r="AE76" s="12" t="str">
        <f>Table1[[#This Row],[Please select your county]]</f>
        <v>Contra Costa County</v>
      </c>
      <c r="AF76" s="41">
        <f>COUNTIF(AE:AE,Table1[[#This Row],[County]])</f>
        <v>131</v>
      </c>
      <c r="AG76" s="12">
        <v>2025</v>
      </c>
    </row>
    <row r="77" spans="1:33" ht="31" x14ac:dyDescent="0.35">
      <c r="A77" s="12">
        <v>417</v>
      </c>
      <c r="B77" s="12" t="s">
        <v>146</v>
      </c>
      <c r="C77" s="12"/>
      <c r="D77" s="12" t="s">
        <v>311</v>
      </c>
      <c r="E77" s="12"/>
      <c r="F77" s="12"/>
      <c r="G77" s="12"/>
      <c r="H77" s="12"/>
      <c r="I77" s="12"/>
      <c r="J77" s="12"/>
      <c r="K77" s="10" t="s">
        <v>267</v>
      </c>
      <c r="L77" s="10" t="s">
        <v>279</v>
      </c>
      <c r="M77" s="10" t="s">
        <v>269</v>
      </c>
      <c r="N77" s="10" t="s">
        <v>278</v>
      </c>
      <c r="O77" s="12" t="s">
        <v>38</v>
      </c>
      <c r="P77" s="12">
        <v>392</v>
      </c>
      <c r="Q77" s="12" t="s">
        <v>281</v>
      </c>
      <c r="R77" s="12" t="s">
        <v>68</v>
      </c>
      <c r="S77" s="12" t="s">
        <v>282</v>
      </c>
      <c r="T77" s="12" t="s">
        <v>159</v>
      </c>
      <c r="U77" s="12" t="s">
        <v>160</v>
      </c>
      <c r="V77" s="12"/>
      <c r="W77" s="12"/>
      <c r="X77" s="12"/>
      <c r="Y77" s="12"/>
      <c r="Z77" s="12"/>
      <c r="AA77" s="12"/>
      <c r="AB77" s="12"/>
      <c r="AC77" s="12" t="str">
        <f>Table1[[#This Row],[City or Community (Contra Costa)]]</f>
        <v>Antioch</v>
      </c>
      <c r="AD77" s="12">
        <f>COUNTIF(D:D,Table1[[#This Row],[City or Community (Contra Costa)]])</f>
        <v>88</v>
      </c>
      <c r="AE77" s="12" t="str">
        <f>Table1[[#This Row],[Please select your county]]</f>
        <v>Contra Costa County</v>
      </c>
      <c r="AF77" s="41">
        <f>COUNTIF(AE:AE,Table1[[#This Row],[County]])</f>
        <v>131</v>
      </c>
      <c r="AG77" s="12">
        <v>2025</v>
      </c>
    </row>
    <row r="78" spans="1:33" ht="31" x14ac:dyDescent="0.35">
      <c r="A78" s="12">
        <v>428</v>
      </c>
      <c r="B78" s="12" t="s">
        <v>146</v>
      </c>
      <c r="C78" s="12"/>
      <c r="D78" s="12" t="s">
        <v>311</v>
      </c>
      <c r="E78" s="12"/>
      <c r="F78" s="12"/>
      <c r="G78" s="12"/>
      <c r="H78" s="12"/>
      <c r="I78" s="12"/>
      <c r="J78" s="12"/>
      <c r="K78" s="10" t="s">
        <v>267</v>
      </c>
      <c r="L78" s="10" t="s">
        <v>279</v>
      </c>
      <c r="M78" s="10" t="s">
        <v>269</v>
      </c>
      <c r="N78" s="10" t="s">
        <v>278</v>
      </c>
      <c r="O78" s="12" t="s">
        <v>38</v>
      </c>
      <c r="P78" s="12">
        <v>392</v>
      </c>
      <c r="Q78" s="12" t="s">
        <v>281</v>
      </c>
      <c r="R78" s="12" t="s">
        <v>68</v>
      </c>
      <c r="S78" s="12" t="s">
        <v>297</v>
      </c>
      <c r="T78" s="12" t="s">
        <v>159</v>
      </c>
      <c r="U78" s="12" t="s">
        <v>160</v>
      </c>
      <c r="V78" s="12"/>
      <c r="W78" s="12"/>
      <c r="X78" s="12"/>
      <c r="Y78" s="12"/>
      <c r="Z78" s="12"/>
      <c r="AA78" s="12"/>
      <c r="AB78" s="12"/>
      <c r="AC78" s="12" t="str">
        <f>Table1[[#This Row],[City or Community (Contra Costa)]]</f>
        <v>Antioch</v>
      </c>
      <c r="AD78" s="12">
        <f>COUNTIF(D:D,Table1[[#This Row],[City or Community (Contra Costa)]])</f>
        <v>88</v>
      </c>
      <c r="AE78" s="12" t="str">
        <f>Table1[[#This Row],[Please select your county]]</f>
        <v>Contra Costa County</v>
      </c>
      <c r="AF78" s="41">
        <f>COUNTIF(AE:AE,Table1[[#This Row],[County]])</f>
        <v>131</v>
      </c>
      <c r="AG78" s="12">
        <v>2025</v>
      </c>
    </row>
    <row r="79" spans="1:33" ht="31" x14ac:dyDescent="0.35">
      <c r="A79" s="12">
        <v>510</v>
      </c>
      <c r="B79" s="12" t="s">
        <v>146</v>
      </c>
      <c r="C79" s="12"/>
      <c r="D79" s="12" t="s">
        <v>311</v>
      </c>
      <c r="E79" s="12"/>
      <c r="F79" s="12"/>
      <c r="G79" s="12"/>
      <c r="H79" s="12"/>
      <c r="I79" s="12"/>
      <c r="J79" s="12"/>
      <c r="K79" s="10" t="s">
        <v>321</v>
      </c>
      <c r="L79" s="10" t="s">
        <v>268</v>
      </c>
      <c r="M79" s="10" t="s">
        <v>303</v>
      </c>
      <c r="N79" s="10" t="s">
        <v>270</v>
      </c>
      <c r="O79" s="12" t="s">
        <v>38</v>
      </c>
      <c r="P79" s="12">
        <v>393</v>
      </c>
      <c r="Q79" s="12" t="s">
        <v>271</v>
      </c>
      <c r="R79" s="12" t="s">
        <v>68</v>
      </c>
      <c r="S79" s="12" t="s">
        <v>272</v>
      </c>
      <c r="T79" s="12" t="s">
        <v>83</v>
      </c>
      <c r="U79" s="12" t="s">
        <v>160</v>
      </c>
      <c r="V79" s="12"/>
      <c r="W79" s="12"/>
      <c r="X79" s="12"/>
      <c r="Y79" s="12"/>
      <c r="Z79" s="12"/>
      <c r="AA79" s="12"/>
      <c r="AB79" s="12"/>
      <c r="AC79" s="12" t="str">
        <f>Table1[[#This Row],[City or Community (Contra Costa)]]</f>
        <v>Antioch</v>
      </c>
      <c r="AD79" s="12">
        <f>COUNTIF(D:D,Table1[[#This Row],[City or Community (Contra Costa)]])</f>
        <v>88</v>
      </c>
      <c r="AE79" s="12" t="str">
        <f>Table1[[#This Row],[Please select your county]]</f>
        <v>Contra Costa County</v>
      </c>
      <c r="AF79" s="41">
        <f>COUNTIF(AE:AE,Table1[[#This Row],[County]])</f>
        <v>131</v>
      </c>
      <c r="AG79" s="12">
        <v>2025</v>
      </c>
    </row>
    <row r="80" spans="1:33" ht="31" x14ac:dyDescent="0.35">
      <c r="A80" s="12">
        <v>480</v>
      </c>
      <c r="B80" s="12" t="s">
        <v>146</v>
      </c>
      <c r="C80" s="12"/>
      <c r="D80" s="12" t="s">
        <v>311</v>
      </c>
      <c r="E80" s="12"/>
      <c r="F80" s="12"/>
      <c r="G80" s="12"/>
      <c r="H80" s="12"/>
      <c r="I80" s="12"/>
      <c r="J80" s="12"/>
      <c r="K80" s="10" t="s">
        <v>274</v>
      </c>
      <c r="L80" s="10" t="s">
        <v>312</v>
      </c>
      <c r="M80" s="10" t="s">
        <v>269</v>
      </c>
      <c r="N80" s="10" t="s">
        <v>280</v>
      </c>
      <c r="O80" s="12" t="s">
        <v>38</v>
      </c>
      <c r="P80" s="12">
        <v>400</v>
      </c>
      <c r="Q80" s="12" t="s">
        <v>281</v>
      </c>
      <c r="R80" s="12" t="s">
        <v>68</v>
      </c>
      <c r="S80" s="12" t="s">
        <v>275</v>
      </c>
      <c r="T80" s="12" t="s">
        <v>159</v>
      </c>
      <c r="U80" s="12" t="s">
        <v>160</v>
      </c>
      <c r="V80" s="12"/>
      <c r="W80" s="12"/>
      <c r="X80" s="12"/>
      <c r="Y80" s="12"/>
      <c r="Z80" s="12"/>
      <c r="AA80" s="12"/>
      <c r="AB80" s="12"/>
      <c r="AC80" s="12" t="str">
        <f>Table1[[#This Row],[City or Community (Contra Costa)]]</f>
        <v>Antioch</v>
      </c>
      <c r="AD80" s="12">
        <f>COUNTIF(D:D,Table1[[#This Row],[City or Community (Contra Costa)]])</f>
        <v>88</v>
      </c>
      <c r="AE80" s="12" t="str">
        <f>Table1[[#This Row],[Please select your county]]</f>
        <v>Contra Costa County</v>
      </c>
      <c r="AF80" s="41">
        <f>COUNTIF(AE:AE,Table1[[#This Row],[County]])</f>
        <v>131</v>
      </c>
      <c r="AG80" s="12">
        <v>2025</v>
      </c>
    </row>
    <row r="81" spans="1:33" ht="31" x14ac:dyDescent="0.35">
      <c r="A81" s="12">
        <v>369</v>
      </c>
      <c r="B81" s="12" t="s">
        <v>146</v>
      </c>
      <c r="C81" s="12"/>
      <c r="D81" s="12" t="s">
        <v>311</v>
      </c>
      <c r="E81" s="12"/>
      <c r="F81" s="12"/>
      <c r="G81" s="12"/>
      <c r="H81" s="12"/>
      <c r="I81" s="12"/>
      <c r="J81" s="12"/>
      <c r="K81" s="10" t="s">
        <v>274</v>
      </c>
      <c r="L81" s="10" t="s">
        <v>279</v>
      </c>
      <c r="M81" s="10" t="s">
        <v>269</v>
      </c>
      <c r="N81" s="10" t="s">
        <v>280</v>
      </c>
      <c r="O81" s="12" t="s">
        <v>38</v>
      </c>
      <c r="P81" s="12">
        <v>400</v>
      </c>
      <c r="Q81" s="12" t="s">
        <v>281</v>
      </c>
      <c r="R81" s="12" t="s">
        <v>165</v>
      </c>
      <c r="S81" s="12" t="s">
        <v>272</v>
      </c>
      <c r="T81" s="12" t="s">
        <v>159</v>
      </c>
      <c r="U81" s="12" t="s">
        <v>160</v>
      </c>
      <c r="V81" s="12"/>
      <c r="W81" s="12"/>
      <c r="X81" s="12"/>
      <c r="Y81" s="12"/>
      <c r="Z81" s="12"/>
      <c r="AA81" s="12"/>
      <c r="AB81" s="12"/>
      <c r="AC81" s="12" t="str">
        <f>Table1[[#This Row],[City or Community (Contra Costa)]]</f>
        <v>Antioch</v>
      </c>
      <c r="AD81" s="12">
        <f>COUNTIF(D:D,Table1[[#This Row],[City or Community (Contra Costa)]])</f>
        <v>88</v>
      </c>
      <c r="AE81" s="12" t="str">
        <f>Table1[[#This Row],[Please select your county]]</f>
        <v>Contra Costa County</v>
      </c>
      <c r="AF81" s="41">
        <f>COUNTIF(AE:AE,Table1[[#This Row],[County]])</f>
        <v>131</v>
      </c>
      <c r="AG81" s="12">
        <v>2025</v>
      </c>
    </row>
    <row r="82" spans="1:33" ht="15.5" x14ac:dyDescent="0.35">
      <c r="A82" s="12">
        <v>219</v>
      </c>
      <c r="B82" s="12" t="s">
        <v>146</v>
      </c>
      <c r="C82" s="12"/>
      <c r="D82" s="12" t="s">
        <v>311</v>
      </c>
      <c r="E82" s="12"/>
      <c r="F82" s="12"/>
      <c r="G82" s="12"/>
      <c r="H82" s="12"/>
      <c r="I82" s="12"/>
      <c r="J82" s="12"/>
      <c r="K82" s="10" t="s">
        <v>274</v>
      </c>
      <c r="L82" s="10"/>
      <c r="M82" s="10"/>
      <c r="N82" s="10"/>
      <c r="O82" s="12" t="s">
        <v>38</v>
      </c>
      <c r="P82" s="12">
        <v>400</v>
      </c>
      <c r="Q82" s="12" t="s">
        <v>295</v>
      </c>
      <c r="R82" s="12" t="s">
        <v>67</v>
      </c>
      <c r="S82" s="12" t="s">
        <v>272</v>
      </c>
      <c r="T82" s="12" t="s">
        <v>83</v>
      </c>
      <c r="U82" s="12" t="s">
        <v>159</v>
      </c>
      <c r="V82" s="12" t="s">
        <v>163</v>
      </c>
      <c r="W82" s="12" t="s">
        <v>318</v>
      </c>
      <c r="X82" s="12"/>
      <c r="Y82" s="12" t="s">
        <v>319</v>
      </c>
      <c r="Z82" s="12"/>
      <c r="AA82" s="12" t="s">
        <v>300</v>
      </c>
      <c r="AB82" s="12" t="s">
        <v>186</v>
      </c>
      <c r="AC82" s="12" t="str">
        <f>Table1[[#This Row],[City or Community (Contra Costa)]]</f>
        <v>Antioch</v>
      </c>
      <c r="AD82" s="12">
        <f>COUNTIF(D:D,Table1[[#This Row],[City or Community (Contra Costa)]])</f>
        <v>88</v>
      </c>
      <c r="AE82" s="12" t="str">
        <f>Table1[[#This Row],[Please select your county]]</f>
        <v>Contra Costa County</v>
      </c>
      <c r="AF82" s="41">
        <f>COUNTIF(AE:AE,Table1[[#This Row],[County]])</f>
        <v>131</v>
      </c>
      <c r="AG82" s="12">
        <v>2025</v>
      </c>
    </row>
    <row r="83" spans="1:33" ht="15.5" x14ac:dyDescent="0.35">
      <c r="A83" s="12">
        <v>527</v>
      </c>
      <c r="B83" s="12" t="s">
        <v>146</v>
      </c>
      <c r="C83" s="12"/>
      <c r="D83" s="12" t="s">
        <v>311</v>
      </c>
      <c r="E83" s="12"/>
      <c r="F83" s="12"/>
      <c r="G83" s="12"/>
      <c r="H83" s="12"/>
      <c r="I83" s="12"/>
      <c r="J83" s="12"/>
      <c r="K83" s="12" t="s">
        <v>274</v>
      </c>
      <c r="L83" s="12" t="s">
        <v>268</v>
      </c>
      <c r="M83" s="12" t="s">
        <v>269</v>
      </c>
      <c r="N83" s="12" t="s">
        <v>280</v>
      </c>
      <c r="O83" s="12" t="s">
        <v>38</v>
      </c>
      <c r="P83" s="12">
        <v>400</v>
      </c>
      <c r="Q83" s="12" t="s">
        <v>295</v>
      </c>
      <c r="R83" s="12" t="s">
        <v>69</v>
      </c>
      <c r="S83" s="12" t="s">
        <v>276</v>
      </c>
      <c r="T83" s="12" t="s">
        <v>83</v>
      </c>
      <c r="U83" s="12" t="s">
        <v>160</v>
      </c>
      <c r="V83" s="12"/>
      <c r="W83" s="12"/>
      <c r="X83" s="12"/>
      <c r="Y83" s="12"/>
      <c r="Z83" s="12"/>
      <c r="AA83" s="12"/>
      <c r="AB83" s="12"/>
      <c r="AC83" s="12" t="str">
        <f>Table1[[#This Row],[City or Community (Contra Costa)]]</f>
        <v>Antioch</v>
      </c>
      <c r="AD83" s="12">
        <f>COUNTIF(D:D,Table1[[#This Row],[City or Community (Contra Costa)]])</f>
        <v>88</v>
      </c>
      <c r="AE83" s="12" t="str">
        <f>Table1[[#This Row],[Please select your county]]</f>
        <v>Contra Costa County</v>
      </c>
      <c r="AF83" s="41">
        <f>COUNTIF(AE:AE,Table1[[#This Row],[County]])</f>
        <v>131</v>
      </c>
      <c r="AG83" s="12">
        <v>2025</v>
      </c>
    </row>
    <row r="84" spans="1:33" ht="15.5" x14ac:dyDescent="0.35">
      <c r="A84" s="12">
        <v>277</v>
      </c>
      <c r="B84" s="12" t="s">
        <v>146</v>
      </c>
      <c r="C84" s="12"/>
      <c r="D84" s="12" t="s">
        <v>311</v>
      </c>
      <c r="E84" s="12"/>
      <c r="F84" s="12"/>
      <c r="G84" s="12"/>
      <c r="H84" s="12"/>
      <c r="I84" s="12"/>
      <c r="J84" s="12"/>
      <c r="K84" s="10" t="s">
        <v>274</v>
      </c>
      <c r="L84" s="10"/>
      <c r="M84" s="10"/>
      <c r="N84" s="10"/>
      <c r="O84" s="12" t="s">
        <v>38</v>
      </c>
      <c r="P84" s="12">
        <v>400</v>
      </c>
      <c r="Q84" s="12" t="s">
        <v>295</v>
      </c>
      <c r="R84" s="12" t="s">
        <v>165</v>
      </c>
      <c r="S84" s="12" t="s">
        <v>276</v>
      </c>
      <c r="T84" s="12" t="s">
        <v>83</v>
      </c>
      <c r="U84" s="12" t="s">
        <v>160</v>
      </c>
      <c r="V84" s="12"/>
      <c r="W84" s="12"/>
      <c r="X84" s="12"/>
      <c r="Y84" s="12"/>
      <c r="Z84" s="12"/>
      <c r="AA84" s="12"/>
      <c r="AB84" s="12"/>
      <c r="AC84" s="12" t="str">
        <f>Table1[[#This Row],[City or Community (Contra Costa)]]</f>
        <v>Antioch</v>
      </c>
      <c r="AD84" s="12">
        <f>COUNTIF(D:D,Table1[[#This Row],[City or Community (Contra Costa)]])</f>
        <v>88</v>
      </c>
      <c r="AE84" s="12" t="str">
        <f>Table1[[#This Row],[Please select your county]]</f>
        <v>Contra Costa County</v>
      </c>
      <c r="AF84" s="41">
        <f>COUNTIF(AE:AE,Table1[[#This Row],[County]])</f>
        <v>131</v>
      </c>
      <c r="AG84" s="12">
        <v>2025</v>
      </c>
    </row>
    <row r="85" spans="1:33" ht="31" x14ac:dyDescent="0.35">
      <c r="A85" s="12">
        <v>538</v>
      </c>
      <c r="B85" s="12" t="s">
        <v>146</v>
      </c>
      <c r="C85" s="12"/>
      <c r="D85" s="12" t="s">
        <v>311</v>
      </c>
      <c r="E85" s="12"/>
      <c r="F85" s="12"/>
      <c r="G85" s="12"/>
      <c r="H85" s="12"/>
      <c r="I85" s="12"/>
      <c r="J85" s="12"/>
      <c r="K85" s="10" t="s">
        <v>283</v>
      </c>
      <c r="L85" s="10" t="s">
        <v>312</v>
      </c>
      <c r="M85" s="10" t="s">
        <v>269</v>
      </c>
      <c r="N85" s="10" t="s">
        <v>278</v>
      </c>
      <c r="O85" s="12" t="s">
        <v>38</v>
      </c>
      <c r="P85" s="12">
        <v>400</v>
      </c>
      <c r="Q85" s="12" t="s">
        <v>281</v>
      </c>
      <c r="R85" s="12" t="s">
        <v>79</v>
      </c>
      <c r="S85" s="12" t="s">
        <v>276</v>
      </c>
      <c r="T85" s="12" t="s">
        <v>83</v>
      </c>
      <c r="U85" s="12" t="s">
        <v>160</v>
      </c>
      <c r="V85" s="12"/>
      <c r="W85" s="12"/>
      <c r="X85" s="12"/>
      <c r="Y85" s="12"/>
      <c r="Z85" s="12"/>
      <c r="AA85" s="12"/>
      <c r="AB85" s="12"/>
      <c r="AC85" s="12" t="str">
        <f>Table1[[#This Row],[City or Community (Contra Costa)]]</f>
        <v>Antioch</v>
      </c>
      <c r="AD85" s="12">
        <f>COUNTIF(D:D,Table1[[#This Row],[City or Community (Contra Costa)]])</f>
        <v>88</v>
      </c>
      <c r="AE85" s="12" t="str">
        <f>Table1[[#This Row],[Please select your county]]</f>
        <v>Contra Costa County</v>
      </c>
      <c r="AF85" s="41">
        <f>COUNTIF(AE:AE,Table1[[#This Row],[County]])</f>
        <v>131</v>
      </c>
      <c r="AG85" s="12">
        <v>2025</v>
      </c>
    </row>
    <row r="86" spans="1:33" ht="31" x14ac:dyDescent="0.35">
      <c r="A86" s="12">
        <v>478</v>
      </c>
      <c r="B86" s="12" t="s">
        <v>146</v>
      </c>
      <c r="C86" s="12"/>
      <c r="D86" s="12" t="s">
        <v>311</v>
      </c>
      <c r="E86" s="12"/>
      <c r="F86" s="12"/>
      <c r="G86" s="12"/>
      <c r="H86" s="12"/>
      <c r="I86" s="12"/>
      <c r="J86" s="12"/>
      <c r="K86" s="10" t="s">
        <v>321</v>
      </c>
      <c r="L86" s="10" t="s">
        <v>312</v>
      </c>
      <c r="M86" s="10" t="s">
        <v>269</v>
      </c>
      <c r="N86" s="10" t="s">
        <v>280</v>
      </c>
      <c r="O86" s="12" t="s">
        <v>38</v>
      </c>
      <c r="P86" s="12">
        <v>400</v>
      </c>
      <c r="Q86" s="12" t="s">
        <v>281</v>
      </c>
      <c r="R86" s="12" t="s">
        <v>67</v>
      </c>
      <c r="S86" s="12" t="s">
        <v>322</v>
      </c>
      <c r="T86" s="12" t="s">
        <v>159</v>
      </c>
      <c r="U86" s="12" t="s">
        <v>160</v>
      </c>
      <c r="V86" s="12"/>
      <c r="W86" s="12"/>
      <c r="X86" s="12"/>
      <c r="Y86" s="12"/>
      <c r="Z86" s="12"/>
      <c r="AA86" s="12"/>
      <c r="AB86" s="12"/>
      <c r="AC86" s="12" t="str">
        <f>Table1[[#This Row],[City or Community (Contra Costa)]]</f>
        <v>Antioch</v>
      </c>
      <c r="AD86" s="12">
        <f>COUNTIF(D:D,Table1[[#This Row],[City or Community (Contra Costa)]])</f>
        <v>88</v>
      </c>
      <c r="AE86" s="12" t="str">
        <f>Table1[[#This Row],[Please select your county]]</f>
        <v>Contra Costa County</v>
      </c>
      <c r="AF86" s="41">
        <f>COUNTIF(AE:AE,Table1[[#This Row],[County]])</f>
        <v>131</v>
      </c>
      <c r="AG86" s="12">
        <v>2025</v>
      </c>
    </row>
    <row r="87" spans="1:33" ht="15.5" x14ac:dyDescent="0.35">
      <c r="A87" s="12">
        <v>330</v>
      </c>
      <c r="B87" s="12" t="s">
        <v>146</v>
      </c>
      <c r="C87" s="12"/>
      <c r="D87" s="12" t="s">
        <v>311</v>
      </c>
      <c r="E87" s="12"/>
      <c r="F87" s="12"/>
      <c r="G87" s="12"/>
      <c r="H87" s="12"/>
      <c r="I87" s="12"/>
      <c r="J87" s="12"/>
      <c r="K87" s="10" t="s">
        <v>294</v>
      </c>
      <c r="L87" s="10"/>
      <c r="M87" s="10"/>
      <c r="N87" s="10"/>
      <c r="O87" s="12" t="s">
        <v>38</v>
      </c>
      <c r="P87" s="12">
        <v>400</v>
      </c>
      <c r="Q87" s="12" t="s">
        <v>281</v>
      </c>
      <c r="R87" s="12" t="s">
        <v>71</v>
      </c>
      <c r="S87" s="12" t="s">
        <v>320</v>
      </c>
      <c r="T87" s="12" t="s">
        <v>159</v>
      </c>
      <c r="U87" s="12" t="s">
        <v>159</v>
      </c>
      <c r="V87" s="12" t="s">
        <v>162</v>
      </c>
      <c r="W87" s="12" t="s">
        <v>318</v>
      </c>
      <c r="X87" s="12"/>
      <c r="Y87" s="12" t="s">
        <v>323</v>
      </c>
      <c r="Z87" s="12"/>
      <c r="AA87" s="12" t="s">
        <v>295</v>
      </c>
      <c r="AB87" s="12" t="s">
        <v>189</v>
      </c>
      <c r="AC87" s="12" t="str">
        <f>Table1[[#This Row],[City or Community (Contra Costa)]]</f>
        <v>Antioch</v>
      </c>
      <c r="AD87" s="12">
        <f>COUNTIF(D:D,Table1[[#This Row],[City or Community (Contra Costa)]])</f>
        <v>88</v>
      </c>
      <c r="AE87" s="12" t="str">
        <f>Table1[[#This Row],[Please select your county]]</f>
        <v>Contra Costa County</v>
      </c>
      <c r="AF87" s="41">
        <f>COUNTIF(AE:AE,Table1[[#This Row],[County]])</f>
        <v>131</v>
      </c>
      <c r="AG87" s="12">
        <v>2025</v>
      </c>
    </row>
    <row r="88" spans="1:33" ht="31" x14ac:dyDescent="0.35">
      <c r="A88" s="12">
        <v>343</v>
      </c>
      <c r="B88" s="12" t="s">
        <v>146</v>
      </c>
      <c r="C88" s="12"/>
      <c r="D88" s="12" t="s">
        <v>311</v>
      </c>
      <c r="E88" s="12"/>
      <c r="F88" s="12"/>
      <c r="G88" s="12"/>
      <c r="H88" s="12"/>
      <c r="I88" s="12"/>
      <c r="J88" s="12"/>
      <c r="K88" s="10" t="s">
        <v>267</v>
      </c>
      <c r="L88" s="10" t="s">
        <v>312</v>
      </c>
      <c r="M88" s="10" t="s">
        <v>269</v>
      </c>
      <c r="N88" s="10" t="s">
        <v>280</v>
      </c>
      <c r="O88" s="12" t="s">
        <v>38</v>
      </c>
      <c r="P88" s="12">
        <v>400</v>
      </c>
      <c r="Q88" s="12" t="s">
        <v>271</v>
      </c>
      <c r="R88" s="12" t="s">
        <v>68</v>
      </c>
      <c r="S88" s="12" t="s">
        <v>284</v>
      </c>
      <c r="T88" s="12" t="s">
        <v>83</v>
      </c>
      <c r="U88" s="12" t="s">
        <v>160</v>
      </c>
      <c r="V88" s="12"/>
      <c r="W88" s="12"/>
      <c r="X88" s="12"/>
      <c r="Y88" s="12"/>
      <c r="Z88" s="12"/>
      <c r="AA88" s="12"/>
      <c r="AB88" s="12"/>
      <c r="AC88" s="12" t="str">
        <f>Table1[[#This Row],[City or Community (Contra Costa)]]</f>
        <v>Antioch</v>
      </c>
      <c r="AD88" s="12">
        <f>COUNTIF(D:D,Table1[[#This Row],[City or Community (Contra Costa)]])</f>
        <v>88</v>
      </c>
      <c r="AE88" s="12" t="str">
        <f>Table1[[#This Row],[Please select your county]]</f>
        <v>Contra Costa County</v>
      </c>
      <c r="AF88" s="41">
        <f>COUNTIF(AE:AE,Table1[[#This Row],[County]])</f>
        <v>131</v>
      </c>
      <c r="AG88" s="12">
        <v>2025</v>
      </c>
    </row>
    <row r="89" spans="1:33" ht="31" x14ac:dyDescent="0.35">
      <c r="A89" s="12">
        <v>584</v>
      </c>
      <c r="B89" s="12" t="s">
        <v>146</v>
      </c>
      <c r="C89" s="12"/>
      <c r="D89" s="12" t="s">
        <v>311</v>
      </c>
      <c r="E89" s="12"/>
      <c r="F89" s="12"/>
      <c r="G89" s="12"/>
      <c r="H89" s="12"/>
      <c r="I89" s="12"/>
      <c r="J89" s="12"/>
      <c r="K89" s="10" t="s">
        <v>287</v>
      </c>
      <c r="L89" s="10" t="s">
        <v>268</v>
      </c>
      <c r="M89" s="10" t="s">
        <v>269</v>
      </c>
      <c r="N89" s="10" t="s">
        <v>278</v>
      </c>
      <c r="O89" s="12" t="s">
        <v>38</v>
      </c>
      <c r="P89" s="12">
        <v>410</v>
      </c>
      <c r="Q89" s="12" t="s">
        <v>281</v>
      </c>
      <c r="R89" s="12" t="s">
        <v>79</v>
      </c>
      <c r="S89" s="12" t="s">
        <v>272</v>
      </c>
      <c r="T89" s="12" t="s">
        <v>159</v>
      </c>
      <c r="U89" s="12" t="s">
        <v>160</v>
      </c>
      <c r="V89" s="12"/>
      <c r="W89" s="12"/>
      <c r="X89" s="12"/>
      <c r="Y89" s="12"/>
      <c r="Z89" s="12"/>
      <c r="AA89" s="12"/>
      <c r="AB89" s="12"/>
      <c r="AC89" s="12" t="str">
        <f>Table1[[#This Row],[City or Community (Contra Costa)]]</f>
        <v>Antioch</v>
      </c>
      <c r="AD89" s="12">
        <f>COUNTIF(D:D,Table1[[#This Row],[City or Community (Contra Costa)]])</f>
        <v>88</v>
      </c>
      <c r="AE89" s="12" t="str">
        <f>Table1[[#This Row],[Please select your county]]</f>
        <v>Contra Costa County</v>
      </c>
      <c r="AF89" s="41">
        <f>COUNTIF(AE:AE,Table1[[#This Row],[County]])</f>
        <v>131</v>
      </c>
      <c r="AG89" s="12">
        <v>2025</v>
      </c>
    </row>
    <row r="90" spans="1:33" ht="31" x14ac:dyDescent="0.35">
      <c r="A90" s="12">
        <v>390</v>
      </c>
      <c r="B90" s="12" t="s">
        <v>146</v>
      </c>
      <c r="C90" s="12"/>
      <c r="D90" s="12" t="s">
        <v>311</v>
      </c>
      <c r="E90" s="12"/>
      <c r="F90" s="12"/>
      <c r="G90" s="12"/>
      <c r="H90" s="12"/>
      <c r="I90" s="12"/>
      <c r="J90" s="12"/>
      <c r="K90" s="10" t="s">
        <v>274</v>
      </c>
      <c r="L90" s="10" t="s">
        <v>268</v>
      </c>
      <c r="M90" s="10" t="s">
        <v>317</v>
      </c>
      <c r="N90" s="10" t="s">
        <v>278</v>
      </c>
      <c r="O90" s="12" t="s">
        <v>38</v>
      </c>
      <c r="P90" s="12">
        <v>420</v>
      </c>
      <c r="Q90" s="12" t="s">
        <v>281</v>
      </c>
      <c r="R90" s="12" t="s">
        <v>69</v>
      </c>
      <c r="S90" s="12" t="s">
        <v>324</v>
      </c>
      <c r="T90" s="12" t="s">
        <v>160</v>
      </c>
      <c r="U90" s="12" t="s">
        <v>160</v>
      </c>
      <c r="V90" s="12"/>
      <c r="W90" s="12"/>
      <c r="X90" s="12"/>
      <c r="Y90" s="12"/>
      <c r="Z90" s="12"/>
      <c r="AA90" s="12"/>
      <c r="AB90" s="12"/>
      <c r="AC90" s="12" t="str">
        <f>Table1[[#This Row],[City or Community (Contra Costa)]]</f>
        <v>Antioch</v>
      </c>
      <c r="AD90" s="12">
        <f>COUNTIF(D:D,Table1[[#This Row],[City or Community (Contra Costa)]])</f>
        <v>88</v>
      </c>
      <c r="AE90" s="12" t="str">
        <f>Table1[[#This Row],[Please select your county]]</f>
        <v>Contra Costa County</v>
      </c>
      <c r="AF90" s="41">
        <f>COUNTIF(AE:AE,Table1[[#This Row],[County]])</f>
        <v>131</v>
      </c>
      <c r="AG90" s="12">
        <v>2025</v>
      </c>
    </row>
    <row r="91" spans="1:33" ht="15.5" x14ac:dyDescent="0.35">
      <c r="A91" s="12">
        <v>143</v>
      </c>
      <c r="B91" s="12" t="s">
        <v>146</v>
      </c>
      <c r="C91" s="12"/>
      <c r="D91" s="12" t="s">
        <v>311</v>
      </c>
      <c r="E91" s="12"/>
      <c r="F91" s="12"/>
      <c r="G91" s="12"/>
      <c r="H91" s="12"/>
      <c r="I91" s="12"/>
      <c r="J91" s="12"/>
      <c r="K91" s="10" t="s">
        <v>267</v>
      </c>
      <c r="L91" s="10"/>
      <c r="M91" s="10"/>
      <c r="N91" s="10"/>
      <c r="O91" s="12" t="s">
        <v>38</v>
      </c>
      <c r="P91" s="12">
        <v>426</v>
      </c>
      <c r="Q91" s="12" t="s">
        <v>271</v>
      </c>
      <c r="R91" s="12" t="s">
        <v>68</v>
      </c>
      <c r="S91" s="12" t="s">
        <v>297</v>
      </c>
      <c r="T91" s="12" t="s">
        <v>159</v>
      </c>
      <c r="U91" s="12" t="s">
        <v>160</v>
      </c>
      <c r="V91" s="12"/>
      <c r="W91" s="12"/>
      <c r="X91" s="12"/>
      <c r="Y91" s="12"/>
      <c r="Z91" s="12"/>
      <c r="AA91" s="12"/>
      <c r="AB91" s="12"/>
      <c r="AC91" s="12" t="str">
        <f>Table1[[#This Row],[City or Community (Contra Costa)]]</f>
        <v>Antioch</v>
      </c>
      <c r="AD91" s="12">
        <f>COUNTIF(D:D,Table1[[#This Row],[City or Community (Contra Costa)]])</f>
        <v>88</v>
      </c>
      <c r="AE91" s="12" t="str">
        <f>Table1[[#This Row],[Please select your county]]</f>
        <v>Contra Costa County</v>
      </c>
      <c r="AF91" s="41">
        <f>COUNTIF(AE:AE,Table1[[#This Row],[County]])</f>
        <v>131</v>
      </c>
      <c r="AG91" s="12">
        <v>2025</v>
      </c>
    </row>
    <row r="92" spans="1:33" ht="15.5" x14ac:dyDescent="0.35">
      <c r="A92" s="12">
        <v>318</v>
      </c>
      <c r="B92" s="12" t="s">
        <v>146</v>
      </c>
      <c r="C92" s="12"/>
      <c r="D92" s="12" t="s">
        <v>311</v>
      </c>
      <c r="E92" s="12"/>
      <c r="F92" s="12"/>
      <c r="G92" s="12"/>
      <c r="H92" s="12"/>
      <c r="I92" s="12"/>
      <c r="J92" s="12"/>
      <c r="K92" s="10" t="s">
        <v>267</v>
      </c>
      <c r="L92" s="10"/>
      <c r="M92" s="10"/>
      <c r="N92" s="10"/>
      <c r="O92" s="12" t="s">
        <v>38</v>
      </c>
      <c r="P92" s="12">
        <v>431</v>
      </c>
      <c r="Q92" s="12" t="s">
        <v>281</v>
      </c>
      <c r="R92" s="12" t="s">
        <v>69</v>
      </c>
      <c r="S92" s="12" t="s">
        <v>284</v>
      </c>
      <c r="T92" s="12" t="s">
        <v>83</v>
      </c>
      <c r="U92" s="12" t="s">
        <v>160</v>
      </c>
      <c r="V92" s="12"/>
      <c r="W92" s="12"/>
      <c r="X92" s="12"/>
      <c r="Y92" s="12"/>
      <c r="Z92" s="12"/>
      <c r="AA92" s="12"/>
      <c r="AB92" s="12"/>
      <c r="AC92" s="12" t="str">
        <f>Table1[[#This Row],[City or Community (Contra Costa)]]</f>
        <v>Antioch</v>
      </c>
      <c r="AD92" s="12">
        <f>COUNTIF(D:D,Table1[[#This Row],[City or Community (Contra Costa)]])</f>
        <v>88</v>
      </c>
      <c r="AE92" s="12" t="str">
        <f>Table1[[#This Row],[Please select your county]]</f>
        <v>Contra Costa County</v>
      </c>
      <c r="AF92" s="41">
        <f>COUNTIF(AE:AE,Table1[[#This Row],[County]])</f>
        <v>131</v>
      </c>
      <c r="AG92" s="12">
        <v>2025</v>
      </c>
    </row>
    <row r="93" spans="1:33" ht="15.5" x14ac:dyDescent="0.35">
      <c r="A93" s="12">
        <v>504</v>
      </c>
      <c r="B93" s="12" t="s">
        <v>146</v>
      </c>
      <c r="C93" s="12"/>
      <c r="D93" s="12" t="s">
        <v>311</v>
      </c>
      <c r="E93" s="12"/>
      <c r="F93" s="12"/>
      <c r="G93" s="12"/>
      <c r="H93" s="12"/>
      <c r="I93" s="12"/>
      <c r="J93" s="12"/>
      <c r="K93" s="12" t="s">
        <v>274</v>
      </c>
      <c r="L93" s="12" t="s">
        <v>279</v>
      </c>
      <c r="M93" s="12" t="s">
        <v>269</v>
      </c>
      <c r="N93" s="12" t="s">
        <v>280</v>
      </c>
      <c r="O93" s="12" t="s">
        <v>38</v>
      </c>
      <c r="P93" s="12">
        <v>440</v>
      </c>
      <c r="Q93" s="12" t="s">
        <v>281</v>
      </c>
      <c r="R93" s="12" t="s">
        <v>68</v>
      </c>
      <c r="S93" s="12" t="s">
        <v>297</v>
      </c>
      <c r="T93" s="12" t="s">
        <v>83</v>
      </c>
      <c r="U93" s="12" t="s">
        <v>160</v>
      </c>
      <c r="V93" s="12"/>
      <c r="W93" s="12"/>
      <c r="X93" s="12"/>
      <c r="Y93" s="12"/>
      <c r="Z93" s="12"/>
      <c r="AA93" s="12"/>
      <c r="AB93" s="12"/>
      <c r="AC93" s="12" t="str">
        <f>Table1[[#This Row],[City or Community (Contra Costa)]]</f>
        <v>Antioch</v>
      </c>
      <c r="AD93" s="12">
        <f>COUNTIF(D:D,Table1[[#This Row],[City or Community (Contra Costa)]])</f>
        <v>88</v>
      </c>
      <c r="AE93" s="12" t="str">
        <f>Table1[[#This Row],[Please select your county]]</f>
        <v>Contra Costa County</v>
      </c>
      <c r="AF93" s="41">
        <f>COUNTIF(AE:AE,Table1[[#This Row],[County]])</f>
        <v>131</v>
      </c>
      <c r="AG93" s="12">
        <v>2025</v>
      </c>
    </row>
    <row r="94" spans="1:33" ht="31" x14ac:dyDescent="0.35">
      <c r="A94" s="12">
        <v>444</v>
      </c>
      <c r="B94" s="12" t="s">
        <v>146</v>
      </c>
      <c r="C94" s="12"/>
      <c r="D94" s="12" t="s">
        <v>311</v>
      </c>
      <c r="E94" s="12"/>
      <c r="F94" s="12"/>
      <c r="G94" s="12"/>
      <c r="H94" s="12"/>
      <c r="I94" s="12"/>
      <c r="J94" s="12"/>
      <c r="K94" s="10" t="s">
        <v>267</v>
      </c>
      <c r="L94" s="10" t="s">
        <v>279</v>
      </c>
      <c r="M94" s="10" t="s">
        <v>301</v>
      </c>
      <c r="N94" s="10" t="s">
        <v>278</v>
      </c>
      <c r="O94" s="12" t="s">
        <v>38</v>
      </c>
      <c r="P94" s="12">
        <v>450</v>
      </c>
      <c r="Q94" s="12" t="s">
        <v>271</v>
      </c>
      <c r="R94" s="12" t="s">
        <v>165</v>
      </c>
      <c r="S94" s="12" t="s">
        <v>297</v>
      </c>
      <c r="T94" s="12" t="s">
        <v>159</v>
      </c>
      <c r="U94" s="12" t="s">
        <v>160</v>
      </c>
      <c r="V94" s="12"/>
      <c r="W94" s="12"/>
      <c r="X94" s="12"/>
      <c r="Y94" s="12"/>
      <c r="Z94" s="12"/>
      <c r="AA94" s="12"/>
      <c r="AB94" s="12"/>
      <c r="AC94" s="12" t="str">
        <f>Table1[[#This Row],[City or Community (Contra Costa)]]</f>
        <v>Antioch</v>
      </c>
      <c r="AD94" s="12">
        <f>COUNTIF(D:D,Table1[[#This Row],[City or Community (Contra Costa)]])</f>
        <v>88</v>
      </c>
      <c r="AE94" s="12" t="str">
        <f>Table1[[#This Row],[Please select your county]]</f>
        <v>Contra Costa County</v>
      </c>
      <c r="AF94" s="41">
        <f>COUNTIF(AE:AE,Table1[[#This Row],[County]])</f>
        <v>131</v>
      </c>
      <c r="AG94" s="12">
        <v>2025</v>
      </c>
    </row>
    <row r="95" spans="1:33" ht="15.5" x14ac:dyDescent="0.35">
      <c r="A95" s="12">
        <v>399</v>
      </c>
      <c r="B95" s="12" t="s">
        <v>146</v>
      </c>
      <c r="C95" s="12"/>
      <c r="D95" s="12" t="s">
        <v>311</v>
      </c>
      <c r="E95" s="12"/>
      <c r="F95" s="12"/>
      <c r="G95" s="12"/>
      <c r="H95" s="12"/>
      <c r="I95" s="12"/>
      <c r="J95" s="12"/>
      <c r="K95" s="10" t="s">
        <v>273</v>
      </c>
      <c r="L95" s="10" t="s">
        <v>268</v>
      </c>
      <c r="M95" s="10" t="s">
        <v>269</v>
      </c>
      <c r="N95" s="10" t="s">
        <v>288</v>
      </c>
      <c r="O95" s="12" t="s">
        <v>39</v>
      </c>
      <c r="P95" s="12">
        <v>459</v>
      </c>
      <c r="Q95" s="12" t="s">
        <v>281</v>
      </c>
      <c r="R95" s="12" t="s">
        <v>76</v>
      </c>
      <c r="S95" s="12" t="s">
        <v>272</v>
      </c>
      <c r="T95" s="12" t="s">
        <v>159</v>
      </c>
      <c r="U95" s="12" t="s">
        <v>160</v>
      </c>
      <c r="V95" s="12"/>
      <c r="W95" s="12"/>
      <c r="X95" s="12"/>
      <c r="Y95" s="12"/>
      <c r="Z95" s="12"/>
      <c r="AA95" s="12"/>
      <c r="AB95" s="12"/>
      <c r="AC95" s="12" t="str">
        <f>Table1[[#This Row],[City or Community (Contra Costa)]]</f>
        <v>Antioch</v>
      </c>
      <c r="AD95" s="12">
        <f>COUNTIF(D:D,Table1[[#This Row],[City or Community (Contra Costa)]])</f>
        <v>88</v>
      </c>
      <c r="AE95" s="12" t="str">
        <f>Table1[[#This Row],[Please select your county]]</f>
        <v>Contra Costa County</v>
      </c>
      <c r="AF95" s="41">
        <f>COUNTIF(AE:AE,Table1[[#This Row],[County]])</f>
        <v>131</v>
      </c>
      <c r="AG95" s="12">
        <v>2025</v>
      </c>
    </row>
    <row r="96" spans="1:33" ht="15.5" x14ac:dyDescent="0.35">
      <c r="A96" s="12">
        <v>335</v>
      </c>
      <c r="B96" s="12" t="s">
        <v>146</v>
      </c>
      <c r="C96" s="12"/>
      <c r="D96" s="12" t="s">
        <v>311</v>
      </c>
      <c r="E96" s="12"/>
      <c r="F96" s="12"/>
      <c r="G96" s="12"/>
      <c r="H96" s="12"/>
      <c r="I96" s="12"/>
      <c r="J96" s="12"/>
      <c r="K96" s="10" t="s">
        <v>274</v>
      </c>
      <c r="L96" s="10"/>
      <c r="M96" s="10"/>
      <c r="N96" s="10"/>
      <c r="O96" s="12" t="s">
        <v>38</v>
      </c>
      <c r="P96" s="12">
        <v>480</v>
      </c>
      <c r="Q96" s="12" t="s">
        <v>271</v>
      </c>
      <c r="R96" s="12" t="s">
        <v>68</v>
      </c>
      <c r="S96" s="12" t="s">
        <v>272</v>
      </c>
      <c r="T96" s="12" t="s">
        <v>159</v>
      </c>
      <c r="U96" s="12" t="s">
        <v>160</v>
      </c>
      <c r="V96" s="12"/>
      <c r="W96" s="12"/>
      <c r="X96" s="12"/>
      <c r="Y96" s="12"/>
      <c r="Z96" s="12"/>
      <c r="AA96" s="12"/>
      <c r="AB96" s="12"/>
      <c r="AC96" s="12" t="str">
        <f>Table1[[#This Row],[City or Community (Contra Costa)]]</f>
        <v>Antioch</v>
      </c>
      <c r="AD96" s="12">
        <f>COUNTIF(D:D,Table1[[#This Row],[City or Community (Contra Costa)]])</f>
        <v>88</v>
      </c>
      <c r="AE96" s="12" t="str">
        <f>Table1[[#This Row],[Please select your county]]</f>
        <v>Contra Costa County</v>
      </c>
      <c r="AF96" s="41">
        <f>COUNTIF(AE:AE,Table1[[#This Row],[County]])</f>
        <v>131</v>
      </c>
      <c r="AG96" s="12">
        <v>2025</v>
      </c>
    </row>
    <row r="97" spans="1:33" ht="15.5" x14ac:dyDescent="0.35">
      <c r="A97" s="12">
        <v>536</v>
      </c>
      <c r="B97" s="12" t="s">
        <v>146</v>
      </c>
      <c r="C97" s="12"/>
      <c r="D97" s="12" t="s">
        <v>311</v>
      </c>
      <c r="E97" s="12"/>
      <c r="F97" s="12"/>
      <c r="G97" s="12"/>
      <c r="H97" s="12"/>
      <c r="I97" s="12"/>
      <c r="J97" s="12"/>
      <c r="K97" s="12" t="s">
        <v>274</v>
      </c>
      <c r="L97" s="12" t="s">
        <v>312</v>
      </c>
      <c r="M97" s="12" t="s">
        <v>269</v>
      </c>
      <c r="N97" s="12" t="s">
        <v>280</v>
      </c>
      <c r="O97" s="12" t="s">
        <v>38</v>
      </c>
      <c r="P97" s="12">
        <v>480</v>
      </c>
      <c r="Q97" s="12" t="s">
        <v>281</v>
      </c>
      <c r="R97" s="12" t="s">
        <v>67</v>
      </c>
      <c r="S97" s="12" t="s">
        <v>297</v>
      </c>
      <c r="T97" s="12" t="s">
        <v>159</v>
      </c>
      <c r="U97" s="12" t="s">
        <v>160</v>
      </c>
      <c r="V97" s="12"/>
      <c r="W97" s="12"/>
      <c r="X97" s="12"/>
      <c r="Y97" s="12"/>
      <c r="Z97" s="12"/>
      <c r="AA97" s="12"/>
      <c r="AB97" s="12"/>
      <c r="AC97" s="12" t="str">
        <f>Table1[[#This Row],[City or Community (Contra Costa)]]</f>
        <v>Antioch</v>
      </c>
      <c r="AD97" s="12">
        <f>COUNTIF(D:D,Table1[[#This Row],[City or Community (Contra Costa)]])</f>
        <v>88</v>
      </c>
      <c r="AE97" s="12" t="str">
        <f>Table1[[#This Row],[Please select your county]]</f>
        <v>Contra Costa County</v>
      </c>
      <c r="AF97" s="41">
        <f>COUNTIF(AE:AE,Table1[[#This Row],[County]])</f>
        <v>131</v>
      </c>
      <c r="AG97" s="12">
        <v>2025</v>
      </c>
    </row>
    <row r="98" spans="1:33" ht="31" x14ac:dyDescent="0.35">
      <c r="A98" s="12">
        <v>382</v>
      </c>
      <c r="B98" s="12" t="s">
        <v>146</v>
      </c>
      <c r="C98" s="12"/>
      <c r="D98" s="12" t="s">
        <v>311</v>
      </c>
      <c r="E98" s="12"/>
      <c r="F98" s="12"/>
      <c r="G98" s="12"/>
      <c r="H98" s="12"/>
      <c r="I98" s="12"/>
      <c r="J98" s="12"/>
      <c r="K98" s="10" t="s">
        <v>274</v>
      </c>
      <c r="L98" s="10" t="s">
        <v>277</v>
      </c>
      <c r="M98" s="10" t="s">
        <v>269</v>
      </c>
      <c r="N98" s="10" t="s">
        <v>280</v>
      </c>
      <c r="O98" s="12" t="s">
        <v>38</v>
      </c>
      <c r="P98" s="12">
        <v>480</v>
      </c>
      <c r="Q98" s="12" t="s">
        <v>281</v>
      </c>
      <c r="R98" s="12" t="s">
        <v>68</v>
      </c>
      <c r="S98" s="12" t="s">
        <v>282</v>
      </c>
      <c r="T98" s="12" t="s">
        <v>159</v>
      </c>
      <c r="U98" s="12" t="s">
        <v>160</v>
      </c>
      <c r="V98" s="12"/>
      <c r="W98" s="12"/>
      <c r="X98" s="12"/>
      <c r="Y98" s="12"/>
      <c r="Z98" s="12"/>
      <c r="AA98" s="12"/>
      <c r="AB98" s="12"/>
      <c r="AC98" s="12" t="str">
        <f>Table1[[#This Row],[City or Community (Contra Costa)]]</f>
        <v>Antioch</v>
      </c>
      <c r="AD98" s="12">
        <f>COUNTIF(D:D,Table1[[#This Row],[City or Community (Contra Costa)]])</f>
        <v>88</v>
      </c>
      <c r="AE98" s="12" t="str">
        <f>Table1[[#This Row],[Please select your county]]</f>
        <v>Contra Costa County</v>
      </c>
      <c r="AF98" s="41">
        <f>COUNTIF(AE:AE,Table1[[#This Row],[County]])</f>
        <v>131</v>
      </c>
      <c r="AG98" s="12">
        <v>2025</v>
      </c>
    </row>
    <row r="99" spans="1:33" ht="15.5" x14ac:dyDescent="0.35">
      <c r="A99" s="12">
        <v>325</v>
      </c>
      <c r="B99" s="12" t="s">
        <v>146</v>
      </c>
      <c r="C99" s="12"/>
      <c r="D99" s="12" t="s">
        <v>311</v>
      </c>
      <c r="E99" s="12"/>
      <c r="F99" s="12"/>
      <c r="G99" s="12"/>
      <c r="H99" s="12"/>
      <c r="I99" s="12"/>
      <c r="J99" s="12"/>
      <c r="K99" s="10" t="s">
        <v>267</v>
      </c>
      <c r="L99" s="10"/>
      <c r="M99" s="10"/>
      <c r="N99" s="10"/>
      <c r="O99" s="12" t="s">
        <v>38</v>
      </c>
      <c r="P99" s="12">
        <v>490</v>
      </c>
      <c r="Q99" s="12" t="s">
        <v>281</v>
      </c>
      <c r="R99" s="12" t="s">
        <v>69</v>
      </c>
      <c r="S99" s="12" t="s">
        <v>276</v>
      </c>
      <c r="T99" s="12" t="s">
        <v>83</v>
      </c>
      <c r="U99" s="12" t="s">
        <v>160</v>
      </c>
      <c r="V99" s="12"/>
      <c r="W99" s="12"/>
      <c r="X99" s="12"/>
      <c r="Y99" s="12"/>
      <c r="Z99" s="12"/>
      <c r="AA99" s="12"/>
      <c r="AB99" s="12"/>
      <c r="AC99" s="12" t="str">
        <f>Table1[[#This Row],[City or Community (Contra Costa)]]</f>
        <v>Antioch</v>
      </c>
      <c r="AD99" s="12">
        <f>COUNTIF(D:D,Table1[[#This Row],[City or Community (Contra Costa)]])</f>
        <v>88</v>
      </c>
      <c r="AE99" s="12" t="str">
        <f>Table1[[#This Row],[Please select your county]]</f>
        <v>Contra Costa County</v>
      </c>
      <c r="AF99" s="41">
        <f>COUNTIF(AE:AE,Table1[[#This Row],[County]])</f>
        <v>131</v>
      </c>
      <c r="AG99" s="12">
        <v>2025</v>
      </c>
    </row>
    <row r="100" spans="1:33" ht="46.5" x14ac:dyDescent="0.35">
      <c r="A100" s="12">
        <v>418</v>
      </c>
      <c r="B100" s="12" t="s">
        <v>146</v>
      </c>
      <c r="C100" s="12"/>
      <c r="D100" s="12" t="s">
        <v>311</v>
      </c>
      <c r="E100" s="12"/>
      <c r="F100" s="12"/>
      <c r="G100" s="12"/>
      <c r="H100" s="12"/>
      <c r="I100" s="12"/>
      <c r="J100" s="12"/>
      <c r="K100" s="10" t="s">
        <v>274</v>
      </c>
      <c r="L100" s="10" t="s">
        <v>279</v>
      </c>
      <c r="M100" s="10" t="s">
        <v>325</v>
      </c>
      <c r="N100" s="10" t="s">
        <v>280</v>
      </c>
      <c r="O100" s="12" t="s">
        <v>38</v>
      </c>
      <c r="P100" s="12">
        <v>500</v>
      </c>
      <c r="Q100" s="12" t="s">
        <v>271</v>
      </c>
      <c r="R100" s="12" t="s">
        <v>79</v>
      </c>
      <c r="S100" s="12" t="s">
        <v>276</v>
      </c>
      <c r="T100" s="12" t="s">
        <v>159</v>
      </c>
      <c r="U100" s="12" t="s">
        <v>160</v>
      </c>
      <c r="V100" s="12"/>
      <c r="W100" s="12"/>
      <c r="X100" s="12"/>
      <c r="Y100" s="12"/>
      <c r="Z100" s="12"/>
      <c r="AA100" s="12"/>
      <c r="AB100" s="12"/>
      <c r="AC100" s="12" t="str">
        <f>Table1[[#This Row],[City or Community (Contra Costa)]]</f>
        <v>Antioch</v>
      </c>
      <c r="AD100" s="12">
        <f>COUNTIF(D:D,Table1[[#This Row],[City or Community (Contra Costa)]])</f>
        <v>88</v>
      </c>
      <c r="AE100" s="12" t="str">
        <f>Table1[[#This Row],[Please select your county]]</f>
        <v>Contra Costa County</v>
      </c>
      <c r="AF100" s="41">
        <f>COUNTIF(AE:AE,Table1[[#This Row],[County]])</f>
        <v>131</v>
      </c>
      <c r="AG100" s="12">
        <v>2025</v>
      </c>
    </row>
    <row r="101" spans="1:33" ht="31" x14ac:dyDescent="0.35">
      <c r="A101" s="12">
        <v>562</v>
      </c>
      <c r="B101" s="12" t="s">
        <v>146</v>
      </c>
      <c r="C101" s="12"/>
      <c r="D101" s="12" t="s">
        <v>311</v>
      </c>
      <c r="E101" s="12"/>
      <c r="F101" s="12"/>
      <c r="G101" s="12"/>
      <c r="H101" s="12"/>
      <c r="I101" s="12"/>
      <c r="J101" s="12"/>
      <c r="K101" s="10" t="s">
        <v>267</v>
      </c>
      <c r="L101" s="10" t="s">
        <v>268</v>
      </c>
      <c r="M101" s="10" t="s">
        <v>303</v>
      </c>
      <c r="N101" s="10" t="s">
        <v>280</v>
      </c>
      <c r="O101" s="12" t="s">
        <v>38</v>
      </c>
      <c r="P101" s="12">
        <v>500</v>
      </c>
      <c r="Q101" s="12" t="s">
        <v>281</v>
      </c>
      <c r="R101" s="12" t="s">
        <v>68</v>
      </c>
      <c r="S101" s="12" t="s">
        <v>276</v>
      </c>
      <c r="T101" s="12" t="s">
        <v>83</v>
      </c>
      <c r="U101" s="12" t="s">
        <v>160</v>
      </c>
      <c r="V101" s="12"/>
      <c r="W101" s="12"/>
      <c r="X101" s="12"/>
      <c r="Y101" s="12"/>
      <c r="Z101" s="12"/>
      <c r="AA101" s="12"/>
      <c r="AB101" s="12"/>
      <c r="AC101" s="12" t="str">
        <f>Table1[[#This Row],[City or Community (Contra Costa)]]</f>
        <v>Antioch</v>
      </c>
      <c r="AD101" s="12">
        <f>COUNTIF(D:D,Table1[[#This Row],[City or Community (Contra Costa)]])</f>
        <v>88</v>
      </c>
      <c r="AE101" s="12" t="str">
        <f>Table1[[#This Row],[Please select your county]]</f>
        <v>Contra Costa County</v>
      </c>
      <c r="AF101" s="41">
        <f>COUNTIF(AE:AE,Table1[[#This Row],[County]])</f>
        <v>131</v>
      </c>
      <c r="AG101" s="12">
        <v>2025</v>
      </c>
    </row>
    <row r="102" spans="1:33" ht="31" x14ac:dyDescent="0.35">
      <c r="A102" s="12">
        <v>256</v>
      </c>
      <c r="B102" s="12" t="s">
        <v>146</v>
      </c>
      <c r="C102" s="12"/>
      <c r="D102" s="12" t="s">
        <v>311</v>
      </c>
      <c r="E102" s="12"/>
      <c r="F102" s="12"/>
      <c r="G102" s="12"/>
      <c r="H102" s="12"/>
      <c r="I102" s="12"/>
      <c r="J102" s="12"/>
      <c r="K102" s="10" t="s">
        <v>308</v>
      </c>
      <c r="L102" s="10"/>
      <c r="M102" s="10"/>
      <c r="N102" s="10"/>
      <c r="O102" s="12" t="s">
        <v>38</v>
      </c>
      <c r="P102" s="12">
        <v>500</v>
      </c>
      <c r="Q102" s="12" t="s">
        <v>281</v>
      </c>
      <c r="R102" s="12" t="s">
        <v>68</v>
      </c>
      <c r="S102" s="12" t="s">
        <v>276</v>
      </c>
      <c r="T102" s="12" t="s">
        <v>159</v>
      </c>
      <c r="U102" s="12" t="s">
        <v>160</v>
      </c>
      <c r="V102" s="12"/>
      <c r="W102" s="12"/>
      <c r="X102" s="12"/>
      <c r="Y102" s="12"/>
      <c r="Z102" s="12"/>
      <c r="AA102" s="12"/>
      <c r="AB102" s="12"/>
      <c r="AC102" s="12" t="str">
        <f>Table1[[#This Row],[City or Community (Contra Costa)]]</f>
        <v>Antioch</v>
      </c>
      <c r="AD102" s="12">
        <f>COUNTIF(D:D,Table1[[#This Row],[City or Community (Contra Costa)]])</f>
        <v>88</v>
      </c>
      <c r="AE102" s="12" t="str">
        <f>Table1[[#This Row],[Please select your county]]</f>
        <v>Contra Costa County</v>
      </c>
      <c r="AF102" s="41">
        <f>COUNTIF(AE:AE,Table1[[#This Row],[County]])</f>
        <v>131</v>
      </c>
      <c r="AG102" s="12">
        <v>2025</v>
      </c>
    </row>
    <row r="103" spans="1:33" ht="31" x14ac:dyDescent="0.35">
      <c r="A103" s="12">
        <v>410</v>
      </c>
      <c r="B103" s="12" t="s">
        <v>146</v>
      </c>
      <c r="C103" s="12"/>
      <c r="D103" s="12" t="s">
        <v>311</v>
      </c>
      <c r="E103" s="12"/>
      <c r="F103" s="12"/>
      <c r="G103" s="12"/>
      <c r="H103" s="12"/>
      <c r="I103" s="12"/>
      <c r="J103" s="12"/>
      <c r="K103" s="10" t="s">
        <v>274</v>
      </c>
      <c r="L103" s="10" t="s">
        <v>312</v>
      </c>
      <c r="M103" s="10" t="s">
        <v>269</v>
      </c>
      <c r="N103" s="10" t="s">
        <v>280</v>
      </c>
      <c r="O103" s="12" t="s">
        <v>38</v>
      </c>
      <c r="P103" s="12">
        <v>530</v>
      </c>
      <c r="Q103" s="12" t="s">
        <v>281</v>
      </c>
      <c r="R103" s="12" t="s">
        <v>69</v>
      </c>
      <c r="S103" s="12" t="s">
        <v>276</v>
      </c>
      <c r="T103" s="12" t="s">
        <v>159</v>
      </c>
      <c r="U103" s="12" t="s">
        <v>160</v>
      </c>
      <c r="V103" s="12"/>
      <c r="W103" s="12"/>
      <c r="X103" s="12"/>
      <c r="Y103" s="12"/>
      <c r="Z103" s="12"/>
      <c r="AA103" s="12"/>
      <c r="AB103" s="12"/>
      <c r="AC103" s="12" t="str">
        <f>Table1[[#This Row],[City or Community (Contra Costa)]]</f>
        <v>Antioch</v>
      </c>
      <c r="AD103" s="12">
        <f>COUNTIF(D:D,Table1[[#This Row],[City or Community (Contra Costa)]])</f>
        <v>88</v>
      </c>
      <c r="AE103" s="12" t="str">
        <f>Table1[[#This Row],[Please select your county]]</f>
        <v>Contra Costa County</v>
      </c>
      <c r="AF103" s="41">
        <f>COUNTIF(AE:AE,Table1[[#This Row],[County]])</f>
        <v>131</v>
      </c>
      <c r="AG103" s="12">
        <v>2025</v>
      </c>
    </row>
    <row r="104" spans="1:33" ht="15.5" x14ac:dyDescent="0.35">
      <c r="A104" s="12">
        <v>252</v>
      </c>
      <c r="B104" s="12" t="s">
        <v>146</v>
      </c>
      <c r="C104" s="12"/>
      <c r="D104" s="12" t="s">
        <v>311</v>
      </c>
      <c r="E104" s="12"/>
      <c r="F104" s="12"/>
      <c r="G104" s="12"/>
      <c r="H104" s="12"/>
      <c r="I104" s="12"/>
      <c r="J104" s="12"/>
      <c r="K104" s="10" t="s">
        <v>274</v>
      </c>
      <c r="L104" s="10"/>
      <c r="M104" s="10"/>
      <c r="N104" s="10"/>
      <c r="O104" s="12" t="s">
        <v>38</v>
      </c>
      <c r="P104" s="12">
        <v>530</v>
      </c>
      <c r="Q104" s="12" t="s">
        <v>295</v>
      </c>
      <c r="R104" s="12" t="s">
        <v>79</v>
      </c>
      <c r="S104" s="12" t="s">
        <v>272</v>
      </c>
      <c r="T104" s="12" t="s">
        <v>159</v>
      </c>
      <c r="U104" s="12" t="s">
        <v>160</v>
      </c>
      <c r="V104" s="12"/>
      <c r="W104" s="12"/>
      <c r="X104" s="12"/>
      <c r="Y104" s="12"/>
      <c r="Z104" s="12"/>
      <c r="AA104" s="12"/>
      <c r="AB104" s="12"/>
      <c r="AC104" s="12" t="str">
        <f>Table1[[#This Row],[City or Community (Contra Costa)]]</f>
        <v>Antioch</v>
      </c>
      <c r="AD104" s="12">
        <f>COUNTIF(D:D,Table1[[#This Row],[City or Community (Contra Costa)]])</f>
        <v>88</v>
      </c>
      <c r="AE104" s="12" t="str">
        <f>Table1[[#This Row],[Please select your county]]</f>
        <v>Contra Costa County</v>
      </c>
      <c r="AF104" s="41">
        <f>COUNTIF(AE:AE,Table1[[#This Row],[County]])</f>
        <v>131</v>
      </c>
      <c r="AG104" s="12">
        <v>2025</v>
      </c>
    </row>
    <row r="105" spans="1:33" ht="15.5" x14ac:dyDescent="0.35">
      <c r="A105" s="12">
        <v>253</v>
      </c>
      <c r="B105" s="12" t="s">
        <v>146</v>
      </c>
      <c r="C105" s="12"/>
      <c r="D105" s="12" t="s">
        <v>311</v>
      </c>
      <c r="E105" s="12"/>
      <c r="F105" s="12"/>
      <c r="G105" s="12"/>
      <c r="H105" s="12"/>
      <c r="I105" s="12"/>
      <c r="J105" s="12"/>
      <c r="K105" s="10" t="s">
        <v>274</v>
      </c>
      <c r="L105" s="10"/>
      <c r="M105" s="10"/>
      <c r="N105" s="10"/>
      <c r="O105" s="12" t="s">
        <v>38</v>
      </c>
      <c r="P105" s="12">
        <v>530</v>
      </c>
      <c r="Q105" s="12" t="s">
        <v>295</v>
      </c>
      <c r="R105" s="12" t="s">
        <v>79</v>
      </c>
      <c r="S105" s="12" t="s">
        <v>272</v>
      </c>
      <c r="T105" s="12" t="s">
        <v>159</v>
      </c>
      <c r="U105" s="12" t="s">
        <v>160</v>
      </c>
      <c r="V105" s="12"/>
      <c r="W105" s="12"/>
      <c r="X105" s="12"/>
      <c r="Y105" s="12"/>
      <c r="Z105" s="12"/>
      <c r="AA105" s="12"/>
      <c r="AB105" s="12"/>
      <c r="AC105" s="12" t="str">
        <f>Table1[[#This Row],[City or Community (Contra Costa)]]</f>
        <v>Antioch</v>
      </c>
      <c r="AD105" s="12">
        <f>COUNTIF(D:D,Table1[[#This Row],[City or Community (Contra Costa)]])</f>
        <v>88</v>
      </c>
      <c r="AE105" s="12" t="str">
        <f>Table1[[#This Row],[Please select your county]]</f>
        <v>Contra Costa County</v>
      </c>
      <c r="AF105" s="41">
        <f>COUNTIF(AE:AE,Table1[[#This Row],[County]])</f>
        <v>131</v>
      </c>
      <c r="AG105" s="12">
        <v>2025</v>
      </c>
    </row>
    <row r="106" spans="1:33" ht="15.5" x14ac:dyDescent="0.35">
      <c r="A106" s="12">
        <v>320</v>
      </c>
      <c r="B106" s="12" t="s">
        <v>146</v>
      </c>
      <c r="C106" s="12"/>
      <c r="D106" s="12" t="s">
        <v>311</v>
      </c>
      <c r="E106" s="12"/>
      <c r="F106" s="12"/>
      <c r="G106" s="12"/>
      <c r="H106" s="12"/>
      <c r="I106" s="12"/>
      <c r="J106" s="12"/>
      <c r="K106" s="10" t="s">
        <v>274</v>
      </c>
      <c r="L106" s="10"/>
      <c r="M106" s="10"/>
      <c r="N106" s="10"/>
      <c r="O106" s="12" t="s">
        <v>38</v>
      </c>
      <c r="P106" s="12">
        <v>531</v>
      </c>
      <c r="Q106" s="12" t="s">
        <v>295</v>
      </c>
      <c r="R106" s="12" t="s">
        <v>79</v>
      </c>
      <c r="S106" s="12" t="s">
        <v>272</v>
      </c>
      <c r="T106" s="12" t="s">
        <v>159</v>
      </c>
      <c r="U106" s="12" t="s">
        <v>160</v>
      </c>
      <c r="V106" s="12"/>
      <c r="W106" s="12"/>
      <c r="X106" s="12"/>
      <c r="Y106" s="12"/>
      <c r="Z106" s="12"/>
      <c r="AA106" s="12"/>
      <c r="AB106" s="12"/>
      <c r="AC106" s="12" t="str">
        <f>Table1[[#This Row],[City or Community (Contra Costa)]]</f>
        <v>Antioch</v>
      </c>
      <c r="AD106" s="12">
        <f>COUNTIF(D:D,Table1[[#This Row],[City or Community (Contra Costa)]])</f>
        <v>88</v>
      </c>
      <c r="AE106" s="12" t="str">
        <f>Table1[[#This Row],[Please select your county]]</f>
        <v>Contra Costa County</v>
      </c>
      <c r="AF106" s="41">
        <f>COUNTIF(AE:AE,Table1[[#This Row],[County]])</f>
        <v>131</v>
      </c>
      <c r="AG106" s="12">
        <v>2025</v>
      </c>
    </row>
    <row r="107" spans="1:33" ht="15.5" x14ac:dyDescent="0.35">
      <c r="A107" s="12">
        <v>300</v>
      </c>
      <c r="B107" s="12" t="s">
        <v>146</v>
      </c>
      <c r="C107" s="12"/>
      <c r="D107" s="12" t="s">
        <v>311</v>
      </c>
      <c r="E107" s="12"/>
      <c r="F107" s="12"/>
      <c r="G107" s="12"/>
      <c r="H107" s="12"/>
      <c r="I107" s="12"/>
      <c r="J107" s="12"/>
      <c r="K107" s="10" t="s">
        <v>267</v>
      </c>
      <c r="L107" s="10"/>
      <c r="M107" s="10"/>
      <c r="N107" s="10"/>
      <c r="O107" s="12" t="s">
        <v>38</v>
      </c>
      <c r="P107" s="12">
        <v>533</v>
      </c>
      <c r="Q107" s="12" t="s">
        <v>281</v>
      </c>
      <c r="R107" s="12" t="s">
        <v>67</v>
      </c>
      <c r="S107" s="12" t="s">
        <v>276</v>
      </c>
      <c r="T107" s="12" t="s">
        <v>83</v>
      </c>
      <c r="U107" s="12" t="s">
        <v>160</v>
      </c>
      <c r="V107" s="12"/>
      <c r="W107" s="12"/>
      <c r="X107" s="12"/>
      <c r="Y107" s="12"/>
      <c r="Z107" s="12"/>
      <c r="AA107" s="12"/>
      <c r="AB107" s="12"/>
      <c r="AC107" s="12" t="str">
        <f>Table1[[#This Row],[City or Community (Contra Costa)]]</f>
        <v>Antioch</v>
      </c>
      <c r="AD107" s="12">
        <f>COUNTIF(D:D,Table1[[#This Row],[City or Community (Contra Costa)]])</f>
        <v>88</v>
      </c>
      <c r="AE107" s="12" t="str">
        <f>Table1[[#This Row],[Please select your county]]</f>
        <v>Contra Costa County</v>
      </c>
      <c r="AF107" s="41">
        <f>COUNTIF(AE:AE,Table1[[#This Row],[County]])</f>
        <v>131</v>
      </c>
      <c r="AG107" s="12">
        <v>2025</v>
      </c>
    </row>
    <row r="108" spans="1:33" ht="15.5" x14ac:dyDescent="0.35">
      <c r="A108" s="12">
        <v>217</v>
      </c>
      <c r="B108" s="12" t="s">
        <v>146</v>
      </c>
      <c r="C108" s="12"/>
      <c r="D108" s="12" t="s">
        <v>311</v>
      </c>
      <c r="E108" s="12"/>
      <c r="F108" s="12"/>
      <c r="G108" s="12"/>
      <c r="H108" s="12"/>
      <c r="I108" s="12"/>
      <c r="J108" s="12"/>
      <c r="K108" s="12" t="s">
        <v>267</v>
      </c>
      <c r="L108" s="12"/>
      <c r="M108" s="12"/>
      <c r="N108" s="12"/>
      <c r="O108" s="12" t="s">
        <v>38</v>
      </c>
      <c r="P108" s="12">
        <v>540</v>
      </c>
      <c r="Q108" s="12" t="s">
        <v>281</v>
      </c>
      <c r="R108" s="12" t="s">
        <v>79</v>
      </c>
      <c r="S108" s="12" t="s">
        <v>276</v>
      </c>
      <c r="T108" s="12" t="s">
        <v>159</v>
      </c>
      <c r="U108" s="12" t="s">
        <v>160</v>
      </c>
      <c r="V108" s="12"/>
      <c r="W108" s="12"/>
      <c r="X108" s="12"/>
      <c r="Y108" s="12"/>
      <c r="Z108" s="12"/>
      <c r="AA108" s="12"/>
      <c r="AB108" s="12"/>
      <c r="AC108" s="12" t="str">
        <f>Table1[[#This Row],[City or Community (Contra Costa)]]</f>
        <v>Antioch</v>
      </c>
      <c r="AD108" s="12">
        <f>COUNTIF(D:D,Table1[[#This Row],[City or Community (Contra Costa)]])</f>
        <v>88</v>
      </c>
      <c r="AE108" s="12" t="str">
        <f>Table1[[#This Row],[Please select your county]]</f>
        <v>Contra Costa County</v>
      </c>
      <c r="AF108" s="41">
        <f>COUNTIF(AE:AE,Table1[[#This Row],[County]])</f>
        <v>131</v>
      </c>
      <c r="AG108" s="12">
        <v>2025</v>
      </c>
    </row>
    <row r="109" spans="1:33" ht="31" x14ac:dyDescent="0.35">
      <c r="A109" s="12">
        <v>424</v>
      </c>
      <c r="B109" s="12" t="s">
        <v>146</v>
      </c>
      <c r="C109" s="12"/>
      <c r="D109" s="12" t="s">
        <v>311</v>
      </c>
      <c r="E109" s="12"/>
      <c r="F109" s="12"/>
      <c r="G109" s="12"/>
      <c r="H109" s="12"/>
      <c r="I109" s="12"/>
      <c r="J109" s="12"/>
      <c r="K109" s="10" t="s">
        <v>274</v>
      </c>
      <c r="L109" s="10" t="s">
        <v>312</v>
      </c>
      <c r="M109" s="10" t="s">
        <v>301</v>
      </c>
      <c r="N109" s="10" t="s">
        <v>280</v>
      </c>
      <c r="O109" s="12" t="s">
        <v>38</v>
      </c>
      <c r="P109" s="12">
        <v>570</v>
      </c>
      <c r="Q109" s="12" t="s">
        <v>295</v>
      </c>
      <c r="R109" s="12" t="s">
        <v>69</v>
      </c>
      <c r="S109" s="12" t="s">
        <v>282</v>
      </c>
      <c r="T109" s="12" t="s">
        <v>83</v>
      </c>
      <c r="U109" s="12" t="s">
        <v>160</v>
      </c>
      <c r="V109" s="12"/>
      <c r="W109" s="12"/>
      <c r="X109" s="12"/>
      <c r="Y109" s="12"/>
      <c r="Z109" s="12"/>
      <c r="AA109" s="12"/>
      <c r="AB109" s="12"/>
      <c r="AC109" s="12" t="str">
        <f>Table1[[#This Row],[City or Community (Contra Costa)]]</f>
        <v>Antioch</v>
      </c>
      <c r="AD109" s="12">
        <f>COUNTIF(D:D,Table1[[#This Row],[City or Community (Contra Costa)]])</f>
        <v>88</v>
      </c>
      <c r="AE109" s="12" t="str">
        <f>Table1[[#This Row],[Please select your county]]</f>
        <v>Contra Costa County</v>
      </c>
      <c r="AF109" s="41">
        <f>COUNTIF(AE:AE,Table1[[#This Row],[County]])</f>
        <v>131</v>
      </c>
      <c r="AG109" s="12">
        <v>2025</v>
      </c>
    </row>
    <row r="110" spans="1:33" ht="15.5" x14ac:dyDescent="0.35">
      <c r="A110" s="12">
        <v>105</v>
      </c>
      <c r="B110" s="12" t="s">
        <v>146</v>
      </c>
      <c r="C110" s="12"/>
      <c r="D110" s="12" t="s">
        <v>311</v>
      </c>
      <c r="E110" s="12"/>
      <c r="F110" s="12"/>
      <c r="G110" s="12"/>
      <c r="H110" s="12"/>
      <c r="I110" s="12"/>
      <c r="J110" s="12"/>
      <c r="K110" s="10" t="s">
        <v>274</v>
      </c>
      <c r="L110" s="10"/>
      <c r="M110" s="10"/>
      <c r="N110" s="10"/>
      <c r="O110" s="12" t="s">
        <v>38</v>
      </c>
      <c r="P110" s="12">
        <v>600</v>
      </c>
      <c r="Q110" s="12" t="s">
        <v>281</v>
      </c>
      <c r="R110" s="12" t="s">
        <v>79</v>
      </c>
      <c r="S110" s="12" t="s">
        <v>292</v>
      </c>
      <c r="T110" s="12" t="s">
        <v>159</v>
      </c>
      <c r="U110" s="12" t="s">
        <v>160</v>
      </c>
      <c r="V110" s="12"/>
      <c r="W110" s="12"/>
      <c r="X110" s="12"/>
      <c r="Y110" s="12"/>
      <c r="Z110" s="12"/>
      <c r="AA110" s="12"/>
      <c r="AB110" s="12"/>
      <c r="AC110" s="12" t="str">
        <f>Table1[[#This Row],[City or Community (Contra Costa)]]</f>
        <v>Antioch</v>
      </c>
      <c r="AD110" s="12">
        <f>COUNTIF(D:D,Table1[[#This Row],[City or Community (Contra Costa)]])</f>
        <v>88</v>
      </c>
      <c r="AE110" s="12" t="str">
        <f>Table1[[#This Row],[Please select your county]]</f>
        <v>Contra Costa County</v>
      </c>
      <c r="AF110" s="41">
        <f>COUNTIF(AE:AE,Table1[[#This Row],[County]])</f>
        <v>131</v>
      </c>
      <c r="AG110" s="12">
        <v>2025</v>
      </c>
    </row>
    <row r="111" spans="1:33" ht="31" x14ac:dyDescent="0.35">
      <c r="A111" s="12">
        <v>607</v>
      </c>
      <c r="B111" s="12" t="s">
        <v>146</v>
      </c>
      <c r="C111" s="12"/>
      <c r="D111" s="12" t="s">
        <v>311</v>
      </c>
      <c r="E111" s="12"/>
      <c r="F111" s="12"/>
      <c r="G111" s="12"/>
      <c r="H111" s="12"/>
      <c r="I111" s="12"/>
      <c r="J111" s="12"/>
      <c r="K111" s="10" t="s">
        <v>274</v>
      </c>
      <c r="L111" s="10" t="s">
        <v>279</v>
      </c>
      <c r="M111" s="10" t="s">
        <v>269</v>
      </c>
      <c r="N111" s="10" t="s">
        <v>280</v>
      </c>
      <c r="O111" s="12" t="s">
        <v>38</v>
      </c>
      <c r="P111" s="12">
        <v>688</v>
      </c>
      <c r="Q111" s="12" t="s">
        <v>281</v>
      </c>
      <c r="R111" s="12" t="s">
        <v>79</v>
      </c>
      <c r="S111" s="12" t="s">
        <v>276</v>
      </c>
      <c r="T111" s="12" t="s">
        <v>159</v>
      </c>
      <c r="U111" s="12" t="s">
        <v>160</v>
      </c>
      <c r="V111" s="12"/>
      <c r="W111" s="12"/>
      <c r="X111" s="12"/>
      <c r="Y111" s="12"/>
      <c r="Z111" s="12"/>
      <c r="AA111" s="12"/>
      <c r="AB111" s="12"/>
      <c r="AC111" s="12" t="str">
        <f>Table1[[#This Row],[City or Community (Contra Costa)]]</f>
        <v>Antioch</v>
      </c>
      <c r="AD111" s="12">
        <f>COUNTIF(D:D,Table1[[#This Row],[City or Community (Contra Costa)]])</f>
        <v>88</v>
      </c>
      <c r="AE111" s="12" t="str">
        <f>Table1[[#This Row],[Please select your county]]</f>
        <v>Contra Costa County</v>
      </c>
      <c r="AF111" s="41">
        <f>COUNTIF(AE:AE,Table1[[#This Row],[County]])</f>
        <v>131</v>
      </c>
      <c r="AG111" s="12">
        <v>2025</v>
      </c>
    </row>
    <row r="112" spans="1:33" ht="15.5" x14ac:dyDescent="0.35">
      <c r="A112" s="12">
        <v>111</v>
      </c>
      <c r="B112" s="12" t="s">
        <v>146</v>
      </c>
      <c r="C112" s="12"/>
      <c r="D112" s="12" t="s">
        <v>311</v>
      </c>
      <c r="E112" s="12"/>
      <c r="F112" s="12"/>
      <c r="G112" s="12"/>
      <c r="H112" s="12"/>
      <c r="I112" s="12"/>
      <c r="J112" s="12"/>
      <c r="K112" s="10" t="s">
        <v>267</v>
      </c>
      <c r="L112" s="10"/>
      <c r="M112" s="10"/>
      <c r="N112" s="10"/>
      <c r="O112" s="12" t="s">
        <v>38</v>
      </c>
      <c r="P112" s="12">
        <v>700</v>
      </c>
      <c r="Q112" s="12" t="s">
        <v>326</v>
      </c>
      <c r="R112" s="12" t="s">
        <v>67</v>
      </c>
      <c r="S112" s="12" t="s">
        <v>292</v>
      </c>
      <c r="T112" s="12" t="s">
        <v>159</v>
      </c>
      <c r="U112" s="12" t="s">
        <v>160</v>
      </c>
      <c r="V112" s="12"/>
      <c r="W112" s="12"/>
      <c r="X112" s="12"/>
      <c r="Y112" s="12"/>
      <c r="Z112" s="12"/>
      <c r="AA112" s="12"/>
      <c r="AB112" s="12"/>
      <c r="AC112" s="12" t="str">
        <f>Table1[[#This Row],[City or Community (Contra Costa)]]</f>
        <v>Antioch</v>
      </c>
      <c r="AD112" s="12">
        <f>COUNTIF(D:D,Table1[[#This Row],[City or Community (Contra Costa)]])</f>
        <v>88</v>
      </c>
      <c r="AE112" s="12" t="str">
        <f>Table1[[#This Row],[Please select your county]]</f>
        <v>Contra Costa County</v>
      </c>
      <c r="AF112" s="41">
        <f>COUNTIF(AE:AE,Table1[[#This Row],[County]])</f>
        <v>131</v>
      </c>
      <c r="AG112" s="12">
        <v>2025</v>
      </c>
    </row>
    <row r="113" spans="1:33" ht="15.5" x14ac:dyDescent="0.35">
      <c r="A113" s="12">
        <v>91</v>
      </c>
      <c r="B113" s="12" t="s">
        <v>146</v>
      </c>
      <c r="C113" s="12"/>
      <c r="D113" s="12" t="s">
        <v>311</v>
      </c>
      <c r="E113" s="12"/>
      <c r="F113" s="12"/>
      <c r="G113" s="12"/>
      <c r="H113" s="12"/>
      <c r="I113" s="12"/>
      <c r="J113" s="12"/>
      <c r="K113" s="10" t="s">
        <v>294</v>
      </c>
      <c r="L113" s="10"/>
      <c r="M113" s="10"/>
      <c r="N113" s="10"/>
      <c r="O113" s="12" t="s">
        <v>38</v>
      </c>
      <c r="P113" s="12">
        <v>711</v>
      </c>
      <c r="Q113" s="12" t="s">
        <v>271</v>
      </c>
      <c r="R113" s="12" t="s">
        <v>79</v>
      </c>
      <c r="S113" s="12" t="s">
        <v>292</v>
      </c>
      <c r="T113" s="12" t="s">
        <v>159</v>
      </c>
      <c r="U113" s="12" t="s">
        <v>160</v>
      </c>
      <c r="V113" s="12"/>
      <c r="W113" s="12"/>
      <c r="X113" s="12"/>
      <c r="Y113" s="12"/>
      <c r="Z113" s="12"/>
      <c r="AA113" s="12"/>
      <c r="AB113" s="12"/>
      <c r="AC113" s="12" t="str">
        <f>Table1[[#This Row],[City or Community (Contra Costa)]]</f>
        <v>Antioch</v>
      </c>
      <c r="AD113" s="12">
        <f>COUNTIF(D:D,Table1[[#This Row],[City or Community (Contra Costa)]])</f>
        <v>88</v>
      </c>
      <c r="AE113" s="12" t="str">
        <f>Table1[[#This Row],[Please select your county]]</f>
        <v>Contra Costa County</v>
      </c>
      <c r="AF113" s="41">
        <f>COUNTIF(AE:AE,Table1[[#This Row],[County]])</f>
        <v>131</v>
      </c>
      <c r="AG113" s="12">
        <v>2025</v>
      </c>
    </row>
    <row r="114" spans="1:33" ht="31" x14ac:dyDescent="0.35">
      <c r="A114" s="12">
        <v>445</v>
      </c>
      <c r="B114" s="12" t="s">
        <v>146</v>
      </c>
      <c r="C114" s="12"/>
      <c r="D114" s="12" t="s">
        <v>311</v>
      </c>
      <c r="E114" s="12"/>
      <c r="F114" s="12"/>
      <c r="G114" s="12"/>
      <c r="H114" s="12"/>
      <c r="I114" s="12"/>
      <c r="J114" s="12"/>
      <c r="K114" s="10" t="s">
        <v>274</v>
      </c>
      <c r="L114" s="10" t="s">
        <v>279</v>
      </c>
      <c r="M114" s="10" t="s">
        <v>269</v>
      </c>
      <c r="N114" s="10" t="s">
        <v>278</v>
      </c>
      <c r="O114" s="12" t="s">
        <v>38</v>
      </c>
      <c r="P114" s="12">
        <v>720</v>
      </c>
      <c r="Q114" s="12" t="s">
        <v>295</v>
      </c>
      <c r="R114" s="12" t="s">
        <v>68</v>
      </c>
      <c r="S114" s="12" t="s">
        <v>298</v>
      </c>
      <c r="T114" s="12" t="s">
        <v>159</v>
      </c>
      <c r="U114" s="12" t="s">
        <v>160</v>
      </c>
      <c r="V114" s="12"/>
      <c r="W114" s="12"/>
      <c r="X114" s="12"/>
      <c r="Y114" s="12"/>
      <c r="Z114" s="12"/>
      <c r="AA114" s="12"/>
      <c r="AB114" s="12"/>
      <c r="AC114" s="12" t="str">
        <f>Table1[[#This Row],[City or Community (Contra Costa)]]</f>
        <v>Antioch</v>
      </c>
      <c r="AD114" s="12">
        <f>COUNTIF(D:D,Table1[[#This Row],[City or Community (Contra Costa)]])</f>
        <v>88</v>
      </c>
      <c r="AE114" s="12" t="str">
        <f>Table1[[#This Row],[Please select your county]]</f>
        <v>Contra Costa County</v>
      </c>
      <c r="AF114" s="41">
        <f>COUNTIF(AE:AE,Table1[[#This Row],[County]])</f>
        <v>131</v>
      </c>
      <c r="AG114" s="12">
        <v>2025</v>
      </c>
    </row>
    <row r="115" spans="1:33" ht="31" x14ac:dyDescent="0.35">
      <c r="A115" s="12">
        <v>93</v>
      </c>
      <c r="B115" s="12" t="s">
        <v>146</v>
      </c>
      <c r="C115" s="12"/>
      <c r="D115" s="12" t="s">
        <v>311</v>
      </c>
      <c r="E115" s="12"/>
      <c r="F115" s="12"/>
      <c r="G115" s="12"/>
      <c r="H115" s="12"/>
      <c r="I115" s="12"/>
      <c r="J115" s="12"/>
      <c r="K115" s="10" t="s">
        <v>327</v>
      </c>
      <c r="L115" s="10"/>
      <c r="M115" s="10"/>
      <c r="N115" s="10"/>
      <c r="O115" s="12" t="s">
        <v>38</v>
      </c>
      <c r="P115" s="12">
        <v>725</v>
      </c>
      <c r="Q115" s="12" t="s">
        <v>295</v>
      </c>
      <c r="R115" s="12" t="s">
        <v>79</v>
      </c>
      <c r="S115" s="12" t="s">
        <v>292</v>
      </c>
      <c r="T115" s="12" t="s">
        <v>159</v>
      </c>
      <c r="U115" s="12" t="s">
        <v>160</v>
      </c>
      <c r="V115" s="12"/>
      <c r="W115" s="12"/>
      <c r="X115" s="12"/>
      <c r="Y115" s="12"/>
      <c r="Z115" s="12"/>
      <c r="AA115" s="12"/>
      <c r="AB115" s="12"/>
      <c r="AC115" s="12" t="str">
        <f>Table1[[#This Row],[City or Community (Contra Costa)]]</f>
        <v>Antioch</v>
      </c>
      <c r="AD115" s="12">
        <f>COUNTIF(D:D,Table1[[#This Row],[City or Community (Contra Costa)]])</f>
        <v>88</v>
      </c>
      <c r="AE115" s="12" t="str">
        <f>Table1[[#This Row],[Please select your county]]</f>
        <v>Contra Costa County</v>
      </c>
      <c r="AF115" s="41">
        <f>COUNTIF(AE:AE,Table1[[#This Row],[County]])</f>
        <v>131</v>
      </c>
      <c r="AG115" s="12">
        <v>2025</v>
      </c>
    </row>
    <row r="116" spans="1:33" ht="15.5" x14ac:dyDescent="0.35">
      <c r="A116" s="12">
        <v>537</v>
      </c>
      <c r="B116" s="12" t="s">
        <v>146</v>
      </c>
      <c r="C116" s="12"/>
      <c r="D116" s="12" t="s">
        <v>311</v>
      </c>
      <c r="E116" s="12"/>
      <c r="F116" s="12"/>
      <c r="G116" s="12"/>
      <c r="H116" s="12"/>
      <c r="I116" s="12"/>
      <c r="J116" s="12"/>
      <c r="K116" s="10" t="s">
        <v>274</v>
      </c>
      <c r="L116" s="10" t="s">
        <v>279</v>
      </c>
      <c r="M116" s="10" t="s">
        <v>269</v>
      </c>
      <c r="N116" s="10" t="s">
        <v>288</v>
      </c>
      <c r="O116" s="12" t="s">
        <v>38</v>
      </c>
      <c r="P116" s="12">
        <v>729</v>
      </c>
      <c r="Q116" s="12" t="s">
        <v>295</v>
      </c>
      <c r="R116" s="12" t="s">
        <v>70</v>
      </c>
      <c r="S116" s="12" t="s">
        <v>276</v>
      </c>
      <c r="T116" s="12" t="s">
        <v>159</v>
      </c>
      <c r="U116" s="12" t="s">
        <v>160</v>
      </c>
      <c r="V116" s="12"/>
      <c r="W116" s="12"/>
      <c r="X116" s="12"/>
      <c r="Y116" s="12"/>
      <c r="Z116" s="12"/>
      <c r="AA116" s="12"/>
      <c r="AB116" s="12"/>
      <c r="AC116" s="12" t="str">
        <f>Table1[[#This Row],[City or Community (Contra Costa)]]</f>
        <v>Antioch</v>
      </c>
      <c r="AD116" s="12">
        <f>COUNTIF(D:D,Table1[[#This Row],[City or Community (Contra Costa)]])</f>
        <v>88</v>
      </c>
      <c r="AE116" s="12" t="str">
        <f>Table1[[#This Row],[Please select your county]]</f>
        <v>Contra Costa County</v>
      </c>
      <c r="AF116" s="41">
        <f>COUNTIF(AE:AE,Table1[[#This Row],[County]])</f>
        <v>131</v>
      </c>
      <c r="AG116" s="12">
        <v>2025</v>
      </c>
    </row>
    <row r="117" spans="1:33" ht="31" x14ac:dyDescent="0.35">
      <c r="A117" s="12">
        <v>426</v>
      </c>
      <c r="B117" s="12" t="s">
        <v>146</v>
      </c>
      <c r="C117" s="12"/>
      <c r="D117" s="12" t="s">
        <v>311</v>
      </c>
      <c r="E117" s="12"/>
      <c r="F117" s="12"/>
      <c r="G117" s="12"/>
      <c r="H117" s="12"/>
      <c r="I117" s="12"/>
      <c r="J117" s="12"/>
      <c r="K117" s="10" t="s">
        <v>267</v>
      </c>
      <c r="L117" s="10" t="s">
        <v>279</v>
      </c>
      <c r="M117" s="10" t="s">
        <v>269</v>
      </c>
      <c r="N117" s="10" t="s">
        <v>280</v>
      </c>
      <c r="O117" s="12" t="s">
        <v>38</v>
      </c>
      <c r="P117" s="12">
        <v>730</v>
      </c>
      <c r="Q117" s="12" t="s">
        <v>295</v>
      </c>
      <c r="R117" s="12" t="s">
        <v>70</v>
      </c>
      <c r="S117" s="12" t="s">
        <v>298</v>
      </c>
      <c r="T117" s="12" t="s">
        <v>83</v>
      </c>
      <c r="U117" s="12" t="s">
        <v>160</v>
      </c>
      <c r="V117" s="12"/>
      <c r="W117" s="12"/>
      <c r="X117" s="12"/>
      <c r="Y117" s="12"/>
      <c r="Z117" s="12"/>
      <c r="AA117" s="12"/>
      <c r="AB117" s="12"/>
      <c r="AC117" s="12" t="str">
        <f>Table1[[#This Row],[City or Community (Contra Costa)]]</f>
        <v>Antioch</v>
      </c>
      <c r="AD117" s="12">
        <f>COUNTIF(D:D,Table1[[#This Row],[City or Community (Contra Costa)]])</f>
        <v>88</v>
      </c>
      <c r="AE117" s="12" t="str">
        <f>Table1[[#This Row],[Please select your county]]</f>
        <v>Contra Costa County</v>
      </c>
      <c r="AF117" s="41">
        <f>COUNTIF(AE:AE,Table1[[#This Row],[County]])</f>
        <v>131</v>
      </c>
      <c r="AG117" s="12">
        <v>2025</v>
      </c>
    </row>
    <row r="118" spans="1:33" ht="31" x14ac:dyDescent="0.35">
      <c r="A118" s="12">
        <v>415</v>
      </c>
      <c r="B118" s="12" t="s">
        <v>146</v>
      </c>
      <c r="C118" s="12"/>
      <c r="D118" s="12" t="s">
        <v>311</v>
      </c>
      <c r="E118" s="12"/>
      <c r="F118" s="12"/>
      <c r="G118" s="12"/>
      <c r="H118" s="12"/>
      <c r="I118" s="12"/>
      <c r="J118" s="12"/>
      <c r="K118" s="10" t="s">
        <v>274</v>
      </c>
      <c r="L118" s="10" t="s">
        <v>279</v>
      </c>
      <c r="M118" s="10" t="s">
        <v>269</v>
      </c>
      <c r="N118" s="10" t="s">
        <v>278</v>
      </c>
      <c r="O118" s="12" t="s">
        <v>38</v>
      </c>
      <c r="P118" s="12">
        <v>740</v>
      </c>
      <c r="Q118" s="12" t="s">
        <v>295</v>
      </c>
      <c r="R118" s="12" t="s">
        <v>67</v>
      </c>
      <c r="S118" s="12" t="s">
        <v>276</v>
      </c>
      <c r="T118" s="12" t="s">
        <v>159</v>
      </c>
      <c r="U118" s="12" t="s">
        <v>160</v>
      </c>
      <c r="V118" s="12"/>
      <c r="W118" s="12"/>
      <c r="X118" s="12"/>
      <c r="Y118" s="12"/>
      <c r="Z118" s="12"/>
      <c r="AA118" s="12"/>
      <c r="AB118" s="12"/>
      <c r="AC118" s="12" t="str">
        <f>Table1[[#This Row],[City or Community (Contra Costa)]]</f>
        <v>Antioch</v>
      </c>
      <c r="AD118" s="12">
        <f>COUNTIF(D:D,Table1[[#This Row],[City or Community (Contra Costa)]])</f>
        <v>88</v>
      </c>
      <c r="AE118" s="12" t="str">
        <f>Table1[[#This Row],[Please select your county]]</f>
        <v>Contra Costa County</v>
      </c>
      <c r="AF118" s="41">
        <f>COUNTIF(AE:AE,Table1[[#This Row],[County]])</f>
        <v>131</v>
      </c>
      <c r="AG118" s="12">
        <v>2025</v>
      </c>
    </row>
    <row r="119" spans="1:33" ht="15.5" x14ac:dyDescent="0.35">
      <c r="A119" s="12">
        <v>323</v>
      </c>
      <c r="B119" s="12" t="s">
        <v>146</v>
      </c>
      <c r="C119" s="12"/>
      <c r="D119" s="12" t="s">
        <v>311</v>
      </c>
      <c r="E119" s="12"/>
      <c r="F119" s="12"/>
      <c r="G119" s="12"/>
      <c r="H119" s="12"/>
      <c r="I119" s="12"/>
      <c r="J119" s="12"/>
      <c r="K119" s="10" t="s">
        <v>267</v>
      </c>
      <c r="L119" s="10"/>
      <c r="M119" s="10"/>
      <c r="N119" s="10"/>
      <c r="O119" s="12" t="s">
        <v>38</v>
      </c>
      <c r="P119" s="12">
        <v>740</v>
      </c>
      <c r="Q119" s="12" t="s">
        <v>281</v>
      </c>
      <c r="R119" s="12" t="s">
        <v>70</v>
      </c>
      <c r="S119" s="12" t="s">
        <v>276</v>
      </c>
      <c r="T119" s="12" t="s">
        <v>159</v>
      </c>
      <c r="U119" s="12" t="s">
        <v>160</v>
      </c>
      <c r="V119" s="12"/>
      <c r="W119" s="12"/>
      <c r="X119" s="12"/>
      <c r="Y119" s="12"/>
      <c r="Z119" s="12"/>
      <c r="AA119" s="12"/>
      <c r="AB119" s="12"/>
      <c r="AC119" s="12" t="str">
        <f>Table1[[#This Row],[City or Community (Contra Costa)]]</f>
        <v>Antioch</v>
      </c>
      <c r="AD119" s="12">
        <f>COUNTIF(D:D,Table1[[#This Row],[City or Community (Contra Costa)]])</f>
        <v>88</v>
      </c>
      <c r="AE119" s="12" t="str">
        <f>Table1[[#This Row],[Please select your county]]</f>
        <v>Contra Costa County</v>
      </c>
      <c r="AF119" s="41">
        <f>COUNTIF(AE:AE,Table1[[#This Row],[County]])</f>
        <v>131</v>
      </c>
      <c r="AG119" s="12">
        <v>2025</v>
      </c>
    </row>
    <row r="120" spans="1:33" ht="15.5" x14ac:dyDescent="0.35">
      <c r="A120" s="12">
        <v>509</v>
      </c>
      <c r="B120" s="12" t="s">
        <v>146</v>
      </c>
      <c r="C120" s="12"/>
      <c r="D120" s="12" t="s">
        <v>311</v>
      </c>
      <c r="E120" s="12"/>
      <c r="F120" s="12"/>
      <c r="G120" s="12"/>
      <c r="H120" s="12"/>
      <c r="I120" s="12"/>
      <c r="J120" s="12"/>
      <c r="K120" s="12" t="s">
        <v>274</v>
      </c>
      <c r="L120" s="12" t="s">
        <v>277</v>
      </c>
      <c r="M120" s="12" t="s">
        <v>269</v>
      </c>
      <c r="N120" s="12" t="s">
        <v>270</v>
      </c>
      <c r="O120" s="12" t="s">
        <v>38</v>
      </c>
      <c r="P120" s="12">
        <v>741</v>
      </c>
      <c r="Q120" s="12" t="s">
        <v>295</v>
      </c>
      <c r="R120" s="12" t="s">
        <v>69</v>
      </c>
      <c r="S120" s="12" t="s">
        <v>276</v>
      </c>
      <c r="T120" s="12" t="s">
        <v>83</v>
      </c>
      <c r="U120" s="12" t="s">
        <v>160</v>
      </c>
      <c r="V120" s="12"/>
      <c r="W120" s="12"/>
      <c r="X120" s="12"/>
      <c r="Y120" s="12"/>
      <c r="Z120" s="12"/>
      <c r="AA120" s="12"/>
      <c r="AB120" s="12"/>
      <c r="AC120" s="12" t="str">
        <f>Table1[[#This Row],[City or Community (Contra Costa)]]</f>
        <v>Antioch</v>
      </c>
      <c r="AD120" s="12">
        <f>COUNTIF(D:D,Table1[[#This Row],[City or Community (Contra Costa)]])</f>
        <v>88</v>
      </c>
      <c r="AE120" s="12" t="str">
        <f>Table1[[#This Row],[Please select your county]]</f>
        <v>Contra Costa County</v>
      </c>
      <c r="AF120" s="41">
        <f>COUNTIF(AE:AE,Table1[[#This Row],[County]])</f>
        <v>131</v>
      </c>
      <c r="AG120" s="12">
        <v>2025</v>
      </c>
    </row>
    <row r="121" spans="1:33" ht="15.5" x14ac:dyDescent="0.35">
      <c r="A121" s="12">
        <v>332</v>
      </c>
      <c r="B121" s="12" t="s">
        <v>146</v>
      </c>
      <c r="C121" s="12"/>
      <c r="D121" s="12" t="s">
        <v>311</v>
      </c>
      <c r="E121" s="12"/>
      <c r="F121" s="12"/>
      <c r="G121" s="12"/>
      <c r="H121" s="12"/>
      <c r="I121" s="12"/>
      <c r="J121" s="12"/>
      <c r="K121" s="10" t="s">
        <v>267</v>
      </c>
      <c r="L121" s="10"/>
      <c r="M121" s="10"/>
      <c r="N121" s="10"/>
      <c r="O121" s="12" t="s">
        <v>38</v>
      </c>
      <c r="P121" s="12">
        <v>741</v>
      </c>
      <c r="Q121" s="12" t="s">
        <v>295</v>
      </c>
      <c r="R121" s="12" t="s">
        <v>69</v>
      </c>
      <c r="S121" s="12" t="s">
        <v>276</v>
      </c>
      <c r="T121" s="12" t="s">
        <v>159</v>
      </c>
      <c r="U121" s="12" t="s">
        <v>160</v>
      </c>
      <c r="V121" s="12"/>
      <c r="W121" s="12"/>
      <c r="X121" s="12"/>
      <c r="Y121" s="12"/>
      <c r="Z121" s="12"/>
      <c r="AA121" s="12"/>
      <c r="AB121" s="12"/>
      <c r="AC121" s="12" t="str">
        <f>Table1[[#This Row],[City or Community (Contra Costa)]]</f>
        <v>Antioch</v>
      </c>
      <c r="AD121" s="12">
        <f>COUNTIF(D:D,Table1[[#This Row],[City or Community (Contra Costa)]])</f>
        <v>88</v>
      </c>
      <c r="AE121" s="12" t="str">
        <f>Table1[[#This Row],[Please select your county]]</f>
        <v>Contra Costa County</v>
      </c>
      <c r="AF121" s="41">
        <f>COUNTIF(AE:AE,Table1[[#This Row],[County]])</f>
        <v>131</v>
      </c>
      <c r="AG121" s="12">
        <v>2025</v>
      </c>
    </row>
    <row r="122" spans="1:33" ht="15.5" x14ac:dyDescent="0.35">
      <c r="A122" s="12">
        <v>259</v>
      </c>
      <c r="B122" s="12" t="s">
        <v>146</v>
      </c>
      <c r="C122" s="12"/>
      <c r="D122" s="12" t="s">
        <v>311</v>
      </c>
      <c r="E122" s="12"/>
      <c r="F122" s="12"/>
      <c r="G122" s="12"/>
      <c r="H122" s="12"/>
      <c r="I122" s="12"/>
      <c r="J122" s="12"/>
      <c r="K122" s="10" t="s">
        <v>274</v>
      </c>
      <c r="L122" s="10"/>
      <c r="M122" s="10"/>
      <c r="N122" s="10"/>
      <c r="O122" s="12" t="s">
        <v>38</v>
      </c>
      <c r="P122" s="12">
        <v>742</v>
      </c>
      <c r="Q122" s="12" t="s">
        <v>295</v>
      </c>
      <c r="R122" s="12" t="s">
        <v>69</v>
      </c>
      <c r="S122" s="12" t="s">
        <v>284</v>
      </c>
      <c r="T122" s="12" t="s">
        <v>159</v>
      </c>
      <c r="U122" s="12" t="s">
        <v>160</v>
      </c>
      <c r="V122" s="12"/>
      <c r="W122" s="12"/>
      <c r="X122" s="12"/>
      <c r="Y122" s="12"/>
      <c r="Z122" s="12"/>
      <c r="AA122" s="12"/>
      <c r="AB122" s="12"/>
      <c r="AC122" s="12" t="str">
        <f>Table1[[#This Row],[City or Community (Contra Costa)]]</f>
        <v>Antioch</v>
      </c>
      <c r="AD122" s="12">
        <f>COUNTIF(D:D,Table1[[#This Row],[City or Community (Contra Costa)]])</f>
        <v>88</v>
      </c>
      <c r="AE122" s="12" t="str">
        <f>Table1[[#This Row],[Please select your county]]</f>
        <v>Contra Costa County</v>
      </c>
      <c r="AF122" s="41">
        <f>COUNTIF(AE:AE,Table1[[#This Row],[County]])</f>
        <v>131</v>
      </c>
      <c r="AG122" s="12">
        <v>2025</v>
      </c>
    </row>
    <row r="123" spans="1:33" ht="31" x14ac:dyDescent="0.35">
      <c r="A123" s="12">
        <v>524</v>
      </c>
      <c r="B123" s="12" t="s">
        <v>146</v>
      </c>
      <c r="C123" s="12"/>
      <c r="D123" s="12" t="s">
        <v>311</v>
      </c>
      <c r="E123" s="12"/>
      <c r="F123" s="12"/>
      <c r="G123" s="12"/>
      <c r="H123" s="12"/>
      <c r="I123" s="12"/>
      <c r="J123" s="12"/>
      <c r="K123" s="10" t="s">
        <v>274</v>
      </c>
      <c r="L123" s="10" t="s">
        <v>279</v>
      </c>
      <c r="M123" s="10" t="s">
        <v>269</v>
      </c>
      <c r="N123" s="10" t="s">
        <v>278</v>
      </c>
      <c r="O123" s="12" t="s">
        <v>38</v>
      </c>
      <c r="P123" s="12">
        <v>744</v>
      </c>
      <c r="Q123" s="12" t="s">
        <v>295</v>
      </c>
      <c r="R123" s="12" t="s">
        <v>69</v>
      </c>
      <c r="S123" s="12" t="s">
        <v>275</v>
      </c>
      <c r="T123" s="12" t="s">
        <v>159</v>
      </c>
      <c r="U123" s="12" t="s">
        <v>160</v>
      </c>
      <c r="V123" s="12"/>
      <c r="W123" s="12"/>
      <c r="X123" s="12"/>
      <c r="Y123" s="12"/>
      <c r="Z123" s="12"/>
      <c r="AA123" s="12"/>
      <c r="AB123" s="12"/>
      <c r="AC123" s="12" t="str">
        <f>Table1[[#This Row],[City or Community (Contra Costa)]]</f>
        <v>Antioch</v>
      </c>
      <c r="AD123" s="12">
        <f>COUNTIF(D:D,Table1[[#This Row],[City or Community (Contra Costa)]])</f>
        <v>88</v>
      </c>
      <c r="AE123" s="12" t="str">
        <f>Table1[[#This Row],[Please select your county]]</f>
        <v>Contra Costa County</v>
      </c>
      <c r="AF123" s="41">
        <f>COUNTIF(AE:AE,Table1[[#This Row],[County]])</f>
        <v>131</v>
      </c>
      <c r="AG123" s="12">
        <v>2025</v>
      </c>
    </row>
    <row r="124" spans="1:33" ht="15.5" x14ac:dyDescent="0.35">
      <c r="A124" s="12">
        <v>90</v>
      </c>
      <c r="B124" s="12" t="s">
        <v>146</v>
      </c>
      <c r="C124" s="12"/>
      <c r="D124" s="12" t="s">
        <v>311</v>
      </c>
      <c r="E124" s="12"/>
      <c r="F124" s="12"/>
      <c r="G124" s="12"/>
      <c r="H124" s="12"/>
      <c r="I124" s="12"/>
      <c r="J124" s="12"/>
      <c r="K124" s="10" t="s">
        <v>267</v>
      </c>
      <c r="L124" s="10"/>
      <c r="M124" s="10"/>
      <c r="N124" s="10"/>
      <c r="O124" s="12" t="s">
        <v>38</v>
      </c>
      <c r="P124" s="12">
        <v>747</v>
      </c>
      <c r="Q124" s="12" t="s">
        <v>295</v>
      </c>
      <c r="R124" s="12" t="s">
        <v>70</v>
      </c>
      <c r="S124" s="12" t="s">
        <v>292</v>
      </c>
      <c r="T124" s="12" t="s">
        <v>83</v>
      </c>
      <c r="U124" s="12" t="s">
        <v>160</v>
      </c>
      <c r="V124" s="12"/>
      <c r="W124" s="12"/>
      <c r="X124" s="12"/>
      <c r="Y124" s="12"/>
      <c r="Z124" s="12"/>
      <c r="AA124" s="12"/>
      <c r="AB124" s="12"/>
      <c r="AC124" s="12" t="str">
        <f>Table1[[#This Row],[City or Community (Contra Costa)]]</f>
        <v>Antioch</v>
      </c>
      <c r="AD124" s="12">
        <f>COUNTIF(D:D,Table1[[#This Row],[City or Community (Contra Costa)]])</f>
        <v>88</v>
      </c>
      <c r="AE124" s="12" t="str">
        <f>Table1[[#This Row],[Please select your county]]</f>
        <v>Contra Costa County</v>
      </c>
      <c r="AF124" s="41">
        <f>COUNTIF(AE:AE,Table1[[#This Row],[County]])</f>
        <v>131</v>
      </c>
      <c r="AG124" s="12">
        <v>2025</v>
      </c>
    </row>
    <row r="125" spans="1:33" ht="15.5" x14ac:dyDescent="0.35">
      <c r="A125" s="12">
        <v>288</v>
      </c>
      <c r="B125" s="12" t="s">
        <v>146</v>
      </c>
      <c r="C125" s="12"/>
      <c r="D125" s="12" t="s">
        <v>311</v>
      </c>
      <c r="E125" s="12"/>
      <c r="F125" s="12"/>
      <c r="G125" s="12"/>
      <c r="H125" s="12"/>
      <c r="I125" s="12"/>
      <c r="J125" s="12"/>
      <c r="K125" s="10" t="s">
        <v>267</v>
      </c>
      <c r="L125" s="10"/>
      <c r="M125" s="10"/>
      <c r="N125" s="10"/>
      <c r="O125" s="12" t="s">
        <v>38</v>
      </c>
      <c r="P125" s="12">
        <v>749</v>
      </c>
      <c r="Q125" s="12" t="s">
        <v>295</v>
      </c>
      <c r="R125" s="12" t="s">
        <v>70</v>
      </c>
      <c r="S125" s="12" t="s">
        <v>275</v>
      </c>
      <c r="T125" s="12" t="s">
        <v>159</v>
      </c>
      <c r="U125" s="12" t="s">
        <v>160</v>
      </c>
      <c r="V125" s="12"/>
      <c r="W125" s="12"/>
      <c r="X125" s="12"/>
      <c r="Y125" s="12"/>
      <c r="Z125" s="12"/>
      <c r="AA125" s="12"/>
      <c r="AB125" s="12"/>
      <c r="AC125" s="12" t="str">
        <f>Table1[[#This Row],[City or Community (Contra Costa)]]</f>
        <v>Antioch</v>
      </c>
      <c r="AD125" s="12">
        <f>COUNTIF(D:D,Table1[[#This Row],[City or Community (Contra Costa)]])</f>
        <v>88</v>
      </c>
      <c r="AE125" s="12" t="str">
        <f>Table1[[#This Row],[Please select your county]]</f>
        <v>Contra Costa County</v>
      </c>
      <c r="AF125" s="41">
        <f>COUNTIF(AE:AE,Table1[[#This Row],[County]])</f>
        <v>131</v>
      </c>
      <c r="AG125" s="12">
        <v>2025</v>
      </c>
    </row>
    <row r="126" spans="1:33" ht="15.5" x14ac:dyDescent="0.35">
      <c r="A126" s="12">
        <v>289</v>
      </c>
      <c r="B126" s="12" t="s">
        <v>146</v>
      </c>
      <c r="C126" s="12"/>
      <c r="D126" s="12" t="s">
        <v>311</v>
      </c>
      <c r="E126" s="12"/>
      <c r="F126" s="12"/>
      <c r="G126" s="12"/>
      <c r="H126" s="12"/>
      <c r="I126" s="12"/>
      <c r="J126" s="12"/>
      <c r="K126" s="10" t="s">
        <v>267</v>
      </c>
      <c r="L126" s="10"/>
      <c r="M126" s="10"/>
      <c r="N126" s="10"/>
      <c r="O126" s="12" t="s">
        <v>38</v>
      </c>
      <c r="P126" s="12">
        <v>749</v>
      </c>
      <c r="Q126" s="12" t="s">
        <v>295</v>
      </c>
      <c r="R126" s="12" t="s">
        <v>70</v>
      </c>
      <c r="S126" s="12" t="s">
        <v>275</v>
      </c>
      <c r="T126" s="12" t="s">
        <v>159</v>
      </c>
      <c r="U126" s="12" t="s">
        <v>160</v>
      </c>
      <c r="V126" s="12"/>
      <c r="W126" s="12"/>
      <c r="X126" s="12"/>
      <c r="Y126" s="12"/>
      <c r="Z126" s="12"/>
      <c r="AA126" s="12"/>
      <c r="AB126" s="12"/>
      <c r="AC126" s="12" t="str">
        <f>Table1[[#This Row],[City or Community (Contra Costa)]]</f>
        <v>Antioch</v>
      </c>
      <c r="AD126" s="12">
        <f>COUNTIF(D:D,Table1[[#This Row],[City or Community (Contra Costa)]])</f>
        <v>88</v>
      </c>
      <c r="AE126" s="12" t="str">
        <f>Table1[[#This Row],[Please select your county]]</f>
        <v>Contra Costa County</v>
      </c>
      <c r="AF126" s="41">
        <f>COUNTIF(AE:AE,Table1[[#This Row],[County]])</f>
        <v>131</v>
      </c>
      <c r="AG126" s="12">
        <v>2025</v>
      </c>
    </row>
    <row r="127" spans="1:33" ht="31" x14ac:dyDescent="0.35">
      <c r="A127" s="12">
        <v>471</v>
      </c>
      <c r="B127" s="12" t="s">
        <v>146</v>
      </c>
      <c r="C127" s="12"/>
      <c r="D127" s="12" t="s">
        <v>311</v>
      </c>
      <c r="E127" s="12"/>
      <c r="F127" s="12"/>
      <c r="G127" s="12"/>
      <c r="H127" s="12"/>
      <c r="I127" s="12"/>
      <c r="J127" s="12"/>
      <c r="K127" s="10" t="s">
        <v>274</v>
      </c>
      <c r="L127" s="10" t="s">
        <v>279</v>
      </c>
      <c r="M127" s="10" t="s">
        <v>269</v>
      </c>
      <c r="N127" s="10" t="s">
        <v>280</v>
      </c>
      <c r="O127" s="12" t="s">
        <v>38</v>
      </c>
      <c r="P127" s="12">
        <v>750</v>
      </c>
      <c r="Q127" s="12" t="s">
        <v>295</v>
      </c>
      <c r="R127" s="12" t="s">
        <v>68</v>
      </c>
      <c r="S127" s="12" t="s">
        <v>282</v>
      </c>
      <c r="T127" s="12" t="s">
        <v>159</v>
      </c>
      <c r="U127" s="12" t="s">
        <v>160</v>
      </c>
      <c r="V127" s="12"/>
      <c r="W127" s="12"/>
      <c r="X127" s="12"/>
      <c r="Y127" s="12"/>
      <c r="Z127" s="12"/>
      <c r="AA127" s="12"/>
      <c r="AB127" s="12"/>
      <c r="AC127" s="12" t="str">
        <f>Table1[[#This Row],[City or Community (Contra Costa)]]</f>
        <v>Antioch</v>
      </c>
      <c r="AD127" s="12">
        <f>COUNTIF(D:D,Table1[[#This Row],[City or Community (Contra Costa)]])</f>
        <v>88</v>
      </c>
      <c r="AE127" s="12" t="str">
        <f>Table1[[#This Row],[Please select your county]]</f>
        <v>Contra Costa County</v>
      </c>
      <c r="AF127" s="41">
        <f>COUNTIF(AE:AE,Table1[[#This Row],[County]])</f>
        <v>131</v>
      </c>
      <c r="AG127" s="12">
        <v>2025</v>
      </c>
    </row>
    <row r="128" spans="1:33" ht="31" x14ac:dyDescent="0.35">
      <c r="A128" s="12">
        <v>370</v>
      </c>
      <c r="B128" s="12" t="s">
        <v>146</v>
      </c>
      <c r="C128" s="12"/>
      <c r="D128" s="12" t="s">
        <v>311</v>
      </c>
      <c r="E128" s="12"/>
      <c r="F128" s="12"/>
      <c r="G128" s="12"/>
      <c r="H128" s="12"/>
      <c r="I128" s="12"/>
      <c r="J128" s="12"/>
      <c r="K128" s="10" t="s">
        <v>274</v>
      </c>
      <c r="L128" s="10" t="s">
        <v>277</v>
      </c>
      <c r="M128" s="10" t="s">
        <v>269</v>
      </c>
      <c r="N128" s="10" t="s">
        <v>280</v>
      </c>
      <c r="O128" s="12" t="s">
        <v>38</v>
      </c>
      <c r="P128" s="12">
        <v>750</v>
      </c>
      <c r="Q128" s="12" t="s">
        <v>295</v>
      </c>
      <c r="R128" s="12" t="s">
        <v>69</v>
      </c>
      <c r="S128" s="12" t="s">
        <v>305</v>
      </c>
      <c r="T128" s="12" t="s">
        <v>160</v>
      </c>
      <c r="U128" s="12" t="s">
        <v>160</v>
      </c>
      <c r="V128" s="12"/>
      <c r="W128" s="12"/>
      <c r="X128" s="12"/>
      <c r="Y128" s="12"/>
      <c r="Z128" s="12"/>
      <c r="AA128" s="12"/>
      <c r="AB128" s="12"/>
      <c r="AC128" s="12" t="str">
        <f>Table1[[#This Row],[City or Community (Contra Costa)]]</f>
        <v>Antioch</v>
      </c>
      <c r="AD128" s="12">
        <f>COUNTIF(D:D,Table1[[#This Row],[City or Community (Contra Costa)]])</f>
        <v>88</v>
      </c>
      <c r="AE128" s="12" t="str">
        <f>Table1[[#This Row],[Please select your county]]</f>
        <v>Contra Costa County</v>
      </c>
      <c r="AF128" s="41">
        <f>COUNTIF(AE:AE,Table1[[#This Row],[County]])</f>
        <v>131</v>
      </c>
      <c r="AG128" s="12">
        <v>2025</v>
      </c>
    </row>
    <row r="129" spans="1:33" ht="15.5" x14ac:dyDescent="0.35">
      <c r="A129" s="12">
        <v>220</v>
      </c>
      <c r="B129" s="12" t="s">
        <v>146</v>
      </c>
      <c r="C129" s="12"/>
      <c r="D129" s="12" t="s">
        <v>311</v>
      </c>
      <c r="E129" s="12"/>
      <c r="F129" s="12"/>
      <c r="G129" s="12"/>
      <c r="H129" s="12"/>
      <c r="I129" s="12"/>
      <c r="J129" s="12"/>
      <c r="K129" s="10" t="s">
        <v>267</v>
      </c>
      <c r="L129" s="10"/>
      <c r="M129" s="10"/>
      <c r="N129" s="10"/>
      <c r="O129" s="12" t="s">
        <v>38</v>
      </c>
      <c r="P129" s="12">
        <v>750</v>
      </c>
      <c r="Q129" s="12" t="s">
        <v>281</v>
      </c>
      <c r="R129" s="12" t="s">
        <v>69</v>
      </c>
      <c r="S129" s="12" t="s">
        <v>328</v>
      </c>
      <c r="T129" s="12" t="s">
        <v>159</v>
      </c>
      <c r="U129" s="12" t="s">
        <v>160</v>
      </c>
      <c r="V129" s="12"/>
      <c r="W129" s="12"/>
      <c r="X129" s="12"/>
      <c r="Y129" s="12"/>
      <c r="Z129" s="12"/>
      <c r="AA129" s="12"/>
      <c r="AB129" s="12"/>
      <c r="AC129" s="12" t="str">
        <f>Table1[[#This Row],[City or Community (Contra Costa)]]</f>
        <v>Antioch</v>
      </c>
      <c r="AD129" s="12">
        <f>COUNTIF(D:D,Table1[[#This Row],[City or Community (Contra Costa)]])</f>
        <v>88</v>
      </c>
      <c r="AE129" s="12" t="str">
        <f>Table1[[#This Row],[Please select your county]]</f>
        <v>Contra Costa County</v>
      </c>
      <c r="AF129" s="41">
        <f>COUNTIF(AE:AE,Table1[[#This Row],[County]])</f>
        <v>131</v>
      </c>
      <c r="AG129" s="12">
        <v>2025</v>
      </c>
    </row>
    <row r="130" spans="1:33" ht="31" x14ac:dyDescent="0.35">
      <c r="A130" s="12">
        <v>534</v>
      </c>
      <c r="B130" s="12" t="s">
        <v>146</v>
      </c>
      <c r="C130" s="12"/>
      <c r="D130" s="12" t="s">
        <v>311</v>
      </c>
      <c r="E130" s="12"/>
      <c r="F130" s="12"/>
      <c r="G130" s="12"/>
      <c r="H130" s="12"/>
      <c r="I130" s="12"/>
      <c r="J130" s="12"/>
      <c r="K130" s="10" t="s">
        <v>274</v>
      </c>
      <c r="L130" s="10" t="s">
        <v>312</v>
      </c>
      <c r="M130" s="10" t="s">
        <v>269</v>
      </c>
      <c r="N130" s="10" t="s">
        <v>280</v>
      </c>
      <c r="O130" s="12" t="s">
        <v>38</v>
      </c>
      <c r="P130" s="12">
        <v>767</v>
      </c>
      <c r="Q130" s="12" t="s">
        <v>326</v>
      </c>
      <c r="R130" s="12" t="s">
        <v>67</v>
      </c>
      <c r="S130" s="12" t="s">
        <v>304</v>
      </c>
      <c r="T130" s="12" t="s">
        <v>159</v>
      </c>
      <c r="U130" s="12" t="s">
        <v>160</v>
      </c>
      <c r="V130" s="12"/>
      <c r="W130" s="12"/>
      <c r="X130" s="12"/>
      <c r="Y130" s="12"/>
      <c r="Z130" s="12"/>
      <c r="AA130" s="12"/>
      <c r="AB130" s="12"/>
      <c r="AC130" s="12" t="str">
        <f>Table1[[#This Row],[City or Community (Contra Costa)]]</f>
        <v>Antioch</v>
      </c>
      <c r="AD130" s="12">
        <f>COUNTIF(D:D,Table1[[#This Row],[City or Community (Contra Costa)]])</f>
        <v>88</v>
      </c>
      <c r="AE130" s="12" t="str">
        <f>Table1[[#This Row],[Please select your county]]</f>
        <v>Contra Costa County</v>
      </c>
      <c r="AF130" s="41">
        <f>COUNTIF(AE:AE,Table1[[#This Row],[County]])</f>
        <v>131</v>
      </c>
      <c r="AG130" s="12">
        <v>2025</v>
      </c>
    </row>
    <row r="131" spans="1:33" ht="15.5" x14ac:dyDescent="0.35">
      <c r="A131" s="12">
        <v>282</v>
      </c>
      <c r="B131" s="12" t="s">
        <v>146</v>
      </c>
      <c r="C131" s="12"/>
      <c r="D131" s="12" t="s">
        <v>311</v>
      </c>
      <c r="E131" s="12"/>
      <c r="F131" s="12"/>
      <c r="G131" s="12"/>
      <c r="H131" s="12"/>
      <c r="I131" s="12"/>
      <c r="J131" s="12"/>
      <c r="K131" s="10" t="s">
        <v>274</v>
      </c>
      <c r="L131" s="10"/>
      <c r="M131" s="10"/>
      <c r="N131" s="10"/>
      <c r="O131" s="12" t="s">
        <v>38</v>
      </c>
      <c r="P131" s="12">
        <v>800</v>
      </c>
      <c r="Q131" s="12" t="s">
        <v>326</v>
      </c>
      <c r="R131" s="12" t="s">
        <v>79</v>
      </c>
      <c r="S131" s="12" t="s">
        <v>329</v>
      </c>
      <c r="T131" s="12" t="s">
        <v>159</v>
      </c>
      <c r="U131" s="12" t="s">
        <v>160</v>
      </c>
      <c r="V131" s="12"/>
      <c r="W131" s="12"/>
      <c r="X131" s="12"/>
      <c r="Y131" s="12"/>
      <c r="Z131" s="12"/>
      <c r="AA131" s="12"/>
      <c r="AB131" s="12"/>
      <c r="AC131" s="12" t="str">
        <f>Table1[[#This Row],[City or Community (Contra Costa)]]</f>
        <v>Antioch</v>
      </c>
      <c r="AD131" s="12">
        <f>COUNTIF(D:D,Table1[[#This Row],[City or Community (Contra Costa)]])</f>
        <v>88</v>
      </c>
      <c r="AE131" s="12" t="str">
        <f>Table1[[#This Row],[Please select your county]]</f>
        <v>Contra Costa County</v>
      </c>
      <c r="AF131" s="41">
        <f>COUNTIF(AE:AE,Table1[[#This Row],[County]])</f>
        <v>131</v>
      </c>
      <c r="AG131" s="12">
        <v>2025</v>
      </c>
    </row>
    <row r="132" spans="1:33" ht="31" x14ac:dyDescent="0.35">
      <c r="A132" s="12">
        <v>469</v>
      </c>
      <c r="B132" s="12" t="s">
        <v>146</v>
      </c>
      <c r="C132" s="12"/>
      <c r="D132" s="12" t="s">
        <v>311</v>
      </c>
      <c r="E132" s="12"/>
      <c r="F132" s="12"/>
      <c r="G132" s="12"/>
      <c r="H132" s="12"/>
      <c r="I132" s="12"/>
      <c r="J132" s="12"/>
      <c r="K132" s="10" t="s">
        <v>294</v>
      </c>
      <c r="L132" s="10" t="s">
        <v>279</v>
      </c>
      <c r="M132" s="10" t="s">
        <v>301</v>
      </c>
      <c r="N132" s="10" t="s">
        <v>280</v>
      </c>
      <c r="O132" s="12" t="s">
        <v>38</v>
      </c>
      <c r="P132" s="12">
        <v>800</v>
      </c>
      <c r="Q132" s="12" t="s">
        <v>295</v>
      </c>
      <c r="R132" s="12" t="s">
        <v>79</v>
      </c>
      <c r="S132" s="12" t="s">
        <v>276</v>
      </c>
      <c r="T132" s="12" t="s">
        <v>159</v>
      </c>
      <c r="U132" s="12" t="s">
        <v>160</v>
      </c>
      <c r="V132" s="12"/>
      <c r="W132" s="12"/>
      <c r="X132" s="12"/>
      <c r="Y132" s="12"/>
      <c r="Z132" s="12"/>
      <c r="AA132" s="12"/>
      <c r="AB132" s="12"/>
      <c r="AC132" s="12" t="str">
        <f>Table1[[#This Row],[City or Community (Contra Costa)]]</f>
        <v>Antioch</v>
      </c>
      <c r="AD132" s="12">
        <f>COUNTIF(D:D,Table1[[#This Row],[City or Community (Contra Costa)]])</f>
        <v>88</v>
      </c>
      <c r="AE132" s="12" t="str">
        <f>Table1[[#This Row],[Please select your county]]</f>
        <v>Contra Costa County</v>
      </c>
      <c r="AF132" s="41">
        <f>COUNTIF(AE:AE,Table1[[#This Row],[County]])</f>
        <v>131</v>
      </c>
      <c r="AG132" s="12">
        <v>2025</v>
      </c>
    </row>
    <row r="133" spans="1:33" ht="31" x14ac:dyDescent="0.35">
      <c r="A133" s="12">
        <v>367</v>
      </c>
      <c r="B133" s="12" t="s">
        <v>146</v>
      </c>
      <c r="C133" s="12"/>
      <c r="D133" s="12" t="s">
        <v>311</v>
      </c>
      <c r="E133" s="12"/>
      <c r="F133" s="12"/>
      <c r="G133" s="12"/>
      <c r="H133" s="12"/>
      <c r="I133" s="12"/>
      <c r="J133" s="12"/>
      <c r="K133" s="10" t="s">
        <v>267</v>
      </c>
      <c r="L133" s="10" t="s">
        <v>279</v>
      </c>
      <c r="M133" s="10" t="s">
        <v>269</v>
      </c>
      <c r="N133" s="10" t="s">
        <v>280</v>
      </c>
      <c r="O133" s="12" t="s">
        <v>38</v>
      </c>
      <c r="P133" s="12">
        <v>900</v>
      </c>
      <c r="Q133" s="12" t="s">
        <v>326</v>
      </c>
      <c r="R133" s="12" t="s">
        <v>69</v>
      </c>
      <c r="S133" s="12" t="s">
        <v>276</v>
      </c>
      <c r="T133" s="12" t="s">
        <v>160</v>
      </c>
      <c r="U133" s="12" t="s">
        <v>160</v>
      </c>
      <c r="V133" s="12"/>
      <c r="W133" s="12"/>
      <c r="X133" s="12"/>
      <c r="Y133" s="12"/>
      <c r="Z133" s="12"/>
      <c r="AA133" s="12"/>
      <c r="AB133" s="12"/>
      <c r="AC133" s="12" t="str">
        <f>Table1[[#This Row],[City or Community (Contra Costa)]]</f>
        <v>Antioch</v>
      </c>
      <c r="AD133" s="12">
        <f>COUNTIF(D:D,Table1[[#This Row],[City or Community (Contra Costa)]])</f>
        <v>88</v>
      </c>
      <c r="AE133" s="12" t="str">
        <f>Table1[[#This Row],[Please select your county]]</f>
        <v>Contra Costa County</v>
      </c>
      <c r="AF133" s="41">
        <f>COUNTIF(AE:AE,Table1[[#This Row],[County]])</f>
        <v>131</v>
      </c>
      <c r="AG133" s="12">
        <v>2025</v>
      </c>
    </row>
    <row r="134" spans="1:33" ht="15.5" x14ac:dyDescent="0.35">
      <c r="A134" s="12">
        <v>515</v>
      </c>
      <c r="B134" s="12" t="s">
        <v>146</v>
      </c>
      <c r="C134" s="12"/>
      <c r="D134" s="12" t="s">
        <v>311</v>
      </c>
      <c r="E134" s="12"/>
      <c r="F134" s="12"/>
      <c r="G134" s="12"/>
      <c r="H134" s="12"/>
      <c r="I134" s="12"/>
      <c r="J134" s="12"/>
      <c r="K134" s="10" t="s">
        <v>273</v>
      </c>
      <c r="L134" s="12" t="s">
        <v>312</v>
      </c>
      <c r="M134" s="12" t="s">
        <v>269</v>
      </c>
      <c r="N134" s="12" t="s">
        <v>278</v>
      </c>
      <c r="O134" s="12" t="s">
        <v>39</v>
      </c>
      <c r="P134" s="12">
        <v>950</v>
      </c>
      <c r="Q134" s="12" t="s">
        <v>295</v>
      </c>
      <c r="R134" s="12" t="s">
        <v>76</v>
      </c>
      <c r="S134" s="12" t="s">
        <v>284</v>
      </c>
      <c r="T134" s="12" t="s">
        <v>159</v>
      </c>
      <c r="U134" s="12" t="s">
        <v>160</v>
      </c>
      <c r="V134" s="12"/>
      <c r="W134" s="12"/>
      <c r="X134" s="12"/>
      <c r="Y134" s="12"/>
      <c r="Z134" s="12"/>
      <c r="AA134" s="12"/>
      <c r="AB134" s="12"/>
      <c r="AC134" s="12" t="str">
        <f>Table1[[#This Row],[City or Community (Contra Costa)]]</f>
        <v>Antioch</v>
      </c>
      <c r="AD134" s="12">
        <f>COUNTIF(D:D,Table1[[#This Row],[City or Community (Contra Costa)]])</f>
        <v>88</v>
      </c>
      <c r="AE134" s="12" t="str">
        <f>Table1[[#This Row],[Please select your county]]</f>
        <v>Contra Costa County</v>
      </c>
      <c r="AF134" s="41">
        <f>COUNTIF(AE:AE,Table1[[#This Row],[County]])</f>
        <v>131</v>
      </c>
      <c r="AG134" s="12">
        <v>2025</v>
      </c>
    </row>
    <row r="135" spans="1:33" ht="31" x14ac:dyDescent="0.35">
      <c r="A135" s="12">
        <v>604</v>
      </c>
      <c r="B135" s="12" t="s">
        <v>146</v>
      </c>
      <c r="C135" s="12"/>
      <c r="D135" s="12" t="s">
        <v>311</v>
      </c>
      <c r="E135" s="12"/>
      <c r="F135" s="12"/>
      <c r="G135" s="12"/>
      <c r="H135" s="12"/>
      <c r="I135" s="12"/>
      <c r="J135" s="12"/>
      <c r="K135" s="10" t="s">
        <v>267</v>
      </c>
      <c r="L135" s="10" t="s">
        <v>312</v>
      </c>
      <c r="M135" s="10" t="s">
        <v>269</v>
      </c>
      <c r="N135" s="10" t="s">
        <v>280</v>
      </c>
      <c r="O135" s="12" t="s">
        <v>38</v>
      </c>
      <c r="P135" s="12">
        <v>963</v>
      </c>
      <c r="Q135" s="12" t="s">
        <v>295</v>
      </c>
      <c r="R135" s="12" t="s">
        <v>71</v>
      </c>
      <c r="S135" s="12" t="s">
        <v>276</v>
      </c>
      <c r="T135" s="12" t="s">
        <v>159</v>
      </c>
      <c r="U135" s="12" t="s">
        <v>160</v>
      </c>
      <c r="V135" s="12"/>
      <c r="W135" s="12"/>
      <c r="X135" s="12"/>
      <c r="Y135" s="12"/>
      <c r="Z135" s="12"/>
      <c r="AA135" s="12"/>
      <c r="AB135" s="12"/>
      <c r="AC135" s="12" t="str">
        <f>Table1[[#This Row],[City or Community (Contra Costa)]]</f>
        <v>Antioch</v>
      </c>
      <c r="AD135" s="12">
        <f>COUNTIF(D:D,Table1[[#This Row],[City or Community (Contra Costa)]])</f>
        <v>88</v>
      </c>
      <c r="AE135" s="12" t="str">
        <f>Table1[[#This Row],[Please select your county]]</f>
        <v>Contra Costa County</v>
      </c>
      <c r="AF135" s="41">
        <f>COUNTIF(AE:AE,Table1[[#This Row],[County]])</f>
        <v>131</v>
      </c>
      <c r="AG135" s="12">
        <v>2025</v>
      </c>
    </row>
    <row r="136" spans="1:33" ht="15.5" x14ac:dyDescent="0.35">
      <c r="A136" s="12">
        <v>245</v>
      </c>
      <c r="B136" s="12" t="s">
        <v>146</v>
      </c>
      <c r="C136" s="12"/>
      <c r="D136" s="12" t="s">
        <v>311</v>
      </c>
      <c r="E136" s="12"/>
      <c r="F136" s="12"/>
      <c r="G136" s="12"/>
      <c r="H136" s="12"/>
      <c r="I136" s="12"/>
      <c r="J136" s="12"/>
      <c r="K136" s="10" t="s">
        <v>267</v>
      </c>
      <c r="L136" s="10"/>
      <c r="M136" s="10"/>
      <c r="N136" s="10"/>
      <c r="O136" s="12" t="s">
        <v>38</v>
      </c>
      <c r="P136" s="12">
        <v>991</v>
      </c>
      <c r="Q136" s="12" t="s">
        <v>295</v>
      </c>
      <c r="R136" s="12" t="s">
        <v>70</v>
      </c>
      <c r="S136" s="12" t="s">
        <v>284</v>
      </c>
      <c r="T136" s="12" t="s">
        <v>159</v>
      </c>
      <c r="U136" s="12" t="s">
        <v>160</v>
      </c>
      <c r="V136" s="12"/>
      <c r="W136" s="12"/>
      <c r="X136" s="12"/>
      <c r="Y136" s="12"/>
      <c r="Z136" s="12"/>
      <c r="AA136" s="12"/>
      <c r="AB136" s="12"/>
      <c r="AC136" s="12" t="str">
        <f>Table1[[#This Row],[City or Community (Contra Costa)]]</f>
        <v>Antioch</v>
      </c>
      <c r="AD136" s="12">
        <f>COUNTIF(D:D,Table1[[#This Row],[City or Community (Contra Costa)]])</f>
        <v>88</v>
      </c>
      <c r="AE136" s="12" t="str">
        <f>Table1[[#This Row],[Please select your county]]</f>
        <v>Contra Costa County</v>
      </c>
      <c r="AF136" s="41">
        <f>COUNTIF(AE:AE,Table1[[#This Row],[County]])</f>
        <v>131</v>
      </c>
      <c r="AG136" s="12">
        <v>2025</v>
      </c>
    </row>
    <row r="137" spans="1:33" ht="15.5" x14ac:dyDescent="0.35">
      <c r="A137" s="12">
        <v>254</v>
      </c>
      <c r="B137" s="12" t="s">
        <v>146</v>
      </c>
      <c r="C137" s="12"/>
      <c r="D137" s="12" t="s">
        <v>311</v>
      </c>
      <c r="E137" s="12"/>
      <c r="F137" s="12"/>
      <c r="G137" s="12"/>
      <c r="H137" s="12"/>
      <c r="I137" s="12"/>
      <c r="J137" s="12"/>
      <c r="K137" s="10" t="s">
        <v>267</v>
      </c>
      <c r="L137" s="10"/>
      <c r="M137" s="10"/>
      <c r="N137" s="10"/>
      <c r="O137" s="12" t="s">
        <v>38</v>
      </c>
      <c r="P137" s="12">
        <v>991</v>
      </c>
      <c r="Q137" s="12" t="s">
        <v>295</v>
      </c>
      <c r="R137" s="12" t="s">
        <v>71</v>
      </c>
      <c r="S137" s="12" t="s">
        <v>284</v>
      </c>
      <c r="T137" s="12" t="s">
        <v>159</v>
      </c>
      <c r="U137" s="12" t="s">
        <v>160</v>
      </c>
      <c r="V137" s="12"/>
      <c r="W137" s="12"/>
      <c r="X137" s="12"/>
      <c r="Y137" s="12"/>
      <c r="Z137" s="12"/>
      <c r="AA137" s="12"/>
      <c r="AB137" s="12"/>
      <c r="AC137" s="12" t="str">
        <f>Table1[[#This Row],[City or Community (Contra Costa)]]</f>
        <v>Antioch</v>
      </c>
      <c r="AD137" s="12">
        <f>COUNTIF(D:D,Table1[[#This Row],[City or Community (Contra Costa)]])</f>
        <v>88</v>
      </c>
      <c r="AE137" s="12" t="str">
        <f>Table1[[#This Row],[Please select your county]]</f>
        <v>Contra Costa County</v>
      </c>
      <c r="AF137" s="41">
        <f>COUNTIF(AE:AE,Table1[[#This Row],[County]])</f>
        <v>131</v>
      </c>
      <c r="AG137" s="12">
        <v>2025</v>
      </c>
    </row>
    <row r="138" spans="1:33" ht="31" x14ac:dyDescent="0.35">
      <c r="A138" s="12">
        <v>359</v>
      </c>
      <c r="B138" s="12" t="s">
        <v>146</v>
      </c>
      <c r="C138" s="12"/>
      <c r="D138" s="12" t="s">
        <v>311</v>
      </c>
      <c r="E138" s="12"/>
      <c r="F138" s="12"/>
      <c r="G138" s="12"/>
      <c r="H138" s="12"/>
      <c r="I138" s="12"/>
      <c r="J138" s="12"/>
      <c r="K138" s="10" t="s">
        <v>287</v>
      </c>
      <c r="L138" s="10" t="s">
        <v>279</v>
      </c>
      <c r="M138" s="10" t="s">
        <v>269</v>
      </c>
      <c r="N138" s="10" t="s">
        <v>280</v>
      </c>
      <c r="O138" s="12" t="s">
        <v>38</v>
      </c>
      <c r="P138" s="12">
        <v>1000</v>
      </c>
      <c r="Q138" s="12" t="s">
        <v>295</v>
      </c>
      <c r="R138" s="12" t="s">
        <v>165</v>
      </c>
      <c r="S138" s="12" t="s">
        <v>276</v>
      </c>
      <c r="T138" s="12" t="s">
        <v>159</v>
      </c>
      <c r="U138" s="12" t="s">
        <v>160</v>
      </c>
      <c r="V138" s="12"/>
      <c r="W138" s="12"/>
      <c r="X138" s="12"/>
      <c r="Y138" s="12"/>
      <c r="Z138" s="12"/>
      <c r="AA138" s="12"/>
      <c r="AB138" s="12"/>
      <c r="AC138" s="12" t="str">
        <f>Table1[[#This Row],[City or Community (Contra Costa)]]</f>
        <v>Antioch</v>
      </c>
      <c r="AD138" s="12">
        <f>COUNTIF(D:D,Table1[[#This Row],[City or Community (Contra Costa)]])</f>
        <v>88</v>
      </c>
      <c r="AE138" s="12" t="str">
        <f>Table1[[#This Row],[Please select your county]]</f>
        <v>Contra Costa County</v>
      </c>
      <c r="AF138" s="41">
        <f>COUNTIF(AE:AE,Table1[[#This Row],[County]])</f>
        <v>131</v>
      </c>
      <c r="AG138" s="12">
        <v>2025</v>
      </c>
    </row>
    <row r="139" spans="1:33" ht="31" x14ac:dyDescent="0.35">
      <c r="A139" s="12">
        <v>365</v>
      </c>
      <c r="B139" s="12" t="s">
        <v>146</v>
      </c>
      <c r="C139" s="12"/>
      <c r="D139" s="12" t="s">
        <v>311</v>
      </c>
      <c r="E139" s="12"/>
      <c r="F139" s="12"/>
      <c r="G139" s="12"/>
      <c r="H139" s="12"/>
      <c r="I139" s="12"/>
      <c r="J139" s="12"/>
      <c r="K139" s="10" t="s">
        <v>287</v>
      </c>
      <c r="L139" s="10" t="s">
        <v>279</v>
      </c>
      <c r="M139" s="10" t="s">
        <v>269</v>
      </c>
      <c r="N139" s="10" t="s">
        <v>280</v>
      </c>
      <c r="O139" s="12" t="s">
        <v>38</v>
      </c>
      <c r="P139" s="12">
        <v>1000</v>
      </c>
      <c r="Q139" s="12" t="s">
        <v>295</v>
      </c>
      <c r="R139" s="12" t="s">
        <v>165</v>
      </c>
      <c r="S139" s="12" t="s">
        <v>329</v>
      </c>
      <c r="T139" s="12" t="s">
        <v>159</v>
      </c>
      <c r="U139" s="12" t="s">
        <v>160</v>
      </c>
      <c r="V139" s="12"/>
      <c r="W139" s="12"/>
      <c r="X139" s="12"/>
      <c r="Y139" s="12"/>
      <c r="Z139" s="12"/>
      <c r="AA139" s="12"/>
      <c r="AB139" s="12"/>
      <c r="AC139" s="12" t="str">
        <f>Table1[[#This Row],[City or Community (Contra Costa)]]</f>
        <v>Antioch</v>
      </c>
      <c r="AD139" s="12">
        <f>COUNTIF(D:D,Table1[[#This Row],[City or Community (Contra Costa)]])</f>
        <v>88</v>
      </c>
      <c r="AE139" s="12" t="str">
        <f>Table1[[#This Row],[Please select your county]]</f>
        <v>Contra Costa County</v>
      </c>
      <c r="AF139" s="41">
        <f>COUNTIF(AE:AE,Table1[[#This Row],[County]])</f>
        <v>131</v>
      </c>
      <c r="AG139" s="12">
        <v>2025</v>
      </c>
    </row>
    <row r="140" spans="1:33" ht="31" x14ac:dyDescent="0.35">
      <c r="A140" s="12">
        <v>458</v>
      </c>
      <c r="B140" s="12" t="s">
        <v>146</v>
      </c>
      <c r="C140" s="12"/>
      <c r="D140" s="12" t="s">
        <v>311</v>
      </c>
      <c r="E140" s="12"/>
      <c r="F140" s="12"/>
      <c r="G140" s="12"/>
      <c r="H140" s="12"/>
      <c r="I140" s="12"/>
      <c r="J140" s="12"/>
      <c r="K140" s="10" t="s">
        <v>267</v>
      </c>
      <c r="L140" s="10" t="s">
        <v>313</v>
      </c>
      <c r="M140" s="10" t="s">
        <v>269</v>
      </c>
      <c r="N140" s="10" t="s">
        <v>280</v>
      </c>
      <c r="O140" s="12" t="s">
        <v>38</v>
      </c>
      <c r="P140" s="12">
        <v>1000</v>
      </c>
      <c r="Q140" s="12" t="s">
        <v>295</v>
      </c>
      <c r="R140" s="12" t="s">
        <v>70</v>
      </c>
      <c r="S140" s="12" t="s">
        <v>298</v>
      </c>
      <c r="T140" s="12" t="s">
        <v>159</v>
      </c>
      <c r="U140" s="12" t="s">
        <v>160</v>
      </c>
      <c r="V140" s="12"/>
      <c r="W140" s="12"/>
      <c r="X140" s="12"/>
      <c r="Y140" s="12"/>
      <c r="Z140" s="12"/>
      <c r="AA140" s="12"/>
      <c r="AB140" s="12"/>
      <c r="AC140" s="12" t="str">
        <f>Table1[[#This Row],[City or Community (Contra Costa)]]</f>
        <v>Antioch</v>
      </c>
      <c r="AD140" s="12">
        <f>COUNTIF(D:D,Table1[[#This Row],[City or Community (Contra Costa)]])</f>
        <v>88</v>
      </c>
      <c r="AE140" s="12" t="str">
        <f>Table1[[#This Row],[Please select your county]]</f>
        <v>Contra Costa County</v>
      </c>
      <c r="AF140" s="41">
        <f>COUNTIF(AE:AE,Table1[[#This Row],[County]])</f>
        <v>131</v>
      </c>
      <c r="AG140" s="12">
        <v>2025</v>
      </c>
    </row>
    <row r="141" spans="1:33" ht="31" x14ac:dyDescent="0.35">
      <c r="A141" s="12">
        <v>454</v>
      </c>
      <c r="B141" s="12" t="s">
        <v>146</v>
      </c>
      <c r="C141" s="12"/>
      <c r="D141" s="12" t="s">
        <v>311</v>
      </c>
      <c r="E141" s="12"/>
      <c r="F141" s="12"/>
      <c r="G141" s="12"/>
      <c r="H141" s="12"/>
      <c r="I141" s="12"/>
      <c r="J141" s="12"/>
      <c r="K141" s="10" t="s">
        <v>273</v>
      </c>
      <c r="L141" s="10" t="s">
        <v>279</v>
      </c>
      <c r="M141" s="10" t="s">
        <v>269</v>
      </c>
      <c r="N141" s="10" t="s">
        <v>280</v>
      </c>
      <c r="O141" s="12" t="s">
        <v>39</v>
      </c>
      <c r="P141" s="12">
        <v>1651</v>
      </c>
      <c r="Q141" s="12" t="s">
        <v>281</v>
      </c>
      <c r="R141" s="12" t="s">
        <v>76</v>
      </c>
      <c r="S141" s="12" t="s">
        <v>276</v>
      </c>
      <c r="T141" s="12" t="s">
        <v>159</v>
      </c>
      <c r="U141" s="12" t="s">
        <v>160</v>
      </c>
      <c r="V141" s="12"/>
      <c r="W141" s="12"/>
      <c r="X141" s="12"/>
      <c r="Y141" s="12"/>
      <c r="Z141" s="12"/>
      <c r="AA141" s="12"/>
      <c r="AB141" s="12"/>
      <c r="AC141" s="12" t="str">
        <f>Table1[[#This Row],[City or Community (Contra Costa)]]</f>
        <v>Antioch</v>
      </c>
      <c r="AD141" s="12">
        <f>COUNTIF(D:D,Table1[[#This Row],[City or Community (Contra Costa)]])</f>
        <v>88</v>
      </c>
      <c r="AE141" s="12" t="str">
        <f>Table1[[#This Row],[Please select your county]]</f>
        <v>Contra Costa County</v>
      </c>
      <c r="AF141" s="41">
        <f>COUNTIF(AE:AE,Table1[[#This Row],[County]])</f>
        <v>131</v>
      </c>
      <c r="AG141" s="12">
        <v>2025</v>
      </c>
    </row>
    <row r="142" spans="1:33" ht="31" x14ac:dyDescent="0.35">
      <c r="A142" s="12">
        <v>582</v>
      </c>
      <c r="B142" s="12" t="s">
        <v>146</v>
      </c>
      <c r="C142" s="12"/>
      <c r="D142" s="12" t="s">
        <v>330</v>
      </c>
      <c r="E142" s="12"/>
      <c r="F142" s="12"/>
      <c r="G142" s="12"/>
      <c r="H142" s="12"/>
      <c r="I142" s="12"/>
      <c r="J142" s="12"/>
      <c r="K142" s="10" t="s">
        <v>308</v>
      </c>
      <c r="L142" s="10" t="s">
        <v>279</v>
      </c>
      <c r="M142" s="10" t="s">
        <v>269</v>
      </c>
      <c r="N142" s="10" t="s">
        <v>280</v>
      </c>
      <c r="O142" s="12" t="s">
        <v>38</v>
      </c>
      <c r="P142" s="12">
        <v>320</v>
      </c>
      <c r="Q142" s="12" t="s">
        <v>281</v>
      </c>
      <c r="R142" s="12" t="s">
        <v>69</v>
      </c>
      <c r="S142" s="12" t="s">
        <v>272</v>
      </c>
      <c r="T142" s="12" t="s">
        <v>159</v>
      </c>
      <c r="U142" s="12" t="s">
        <v>159</v>
      </c>
      <c r="V142" s="12" t="s">
        <v>163</v>
      </c>
      <c r="W142" s="12" t="s">
        <v>289</v>
      </c>
      <c r="X142" s="12"/>
      <c r="Y142" s="12" t="s">
        <v>290</v>
      </c>
      <c r="Z142" s="12"/>
      <c r="AA142" s="12" t="s">
        <v>295</v>
      </c>
      <c r="AB142" s="12" t="s">
        <v>190</v>
      </c>
      <c r="AC142" s="12" t="str">
        <f>Table1[[#This Row],[City or Community (Contra Costa)]]</f>
        <v>Martinez</v>
      </c>
      <c r="AD142" s="12">
        <f>COUNTIF(D:D,Table1[[#This Row],[City or Community (Contra Costa)]])</f>
        <v>26</v>
      </c>
      <c r="AE142" s="12" t="str">
        <f>Table1[[#This Row],[Please select your county]]</f>
        <v>Contra Costa County</v>
      </c>
      <c r="AF142" s="41">
        <f>COUNTIF(AE:AE,Table1[[#This Row],[County]])</f>
        <v>131</v>
      </c>
      <c r="AG142" s="12">
        <v>2025</v>
      </c>
    </row>
    <row r="143" spans="1:33" ht="31" x14ac:dyDescent="0.35">
      <c r="A143" s="12">
        <v>408</v>
      </c>
      <c r="B143" s="12" t="s">
        <v>146</v>
      </c>
      <c r="C143" s="12"/>
      <c r="D143" s="12" t="s">
        <v>330</v>
      </c>
      <c r="E143" s="12"/>
      <c r="F143" s="12"/>
      <c r="G143" s="12"/>
      <c r="H143" s="12"/>
      <c r="I143" s="12"/>
      <c r="J143" s="12"/>
      <c r="K143" s="10" t="s">
        <v>331</v>
      </c>
      <c r="L143" s="10" t="s">
        <v>279</v>
      </c>
      <c r="M143" s="10" t="s">
        <v>269</v>
      </c>
      <c r="N143" s="10" t="s">
        <v>288</v>
      </c>
      <c r="O143" s="12" t="s">
        <v>38</v>
      </c>
      <c r="P143" s="12">
        <v>450</v>
      </c>
      <c r="Q143" s="12" t="s">
        <v>271</v>
      </c>
      <c r="R143" s="12" t="s">
        <v>165</v>
      </c>
      <c r="S143" s="12" t="s">
        <v>276</v>
      </c>
      <c r="T143" s="12" t="s">
        <v>83</v>
      </c>
      <c r="U143" s="12" t="s">
        <v>160</v>
      </c>
      <c r="V143" s="12"/>
      <c r="W143" s="12"/>
      <c r="X143" s="12"/>
      <c r="Y143" s="12"/>
      <c r="Z143" s="12"/>
      <c r="AA143" s="12"/>
      <c r="AB143" s="12"/>
      <c r="AC143" s="12" t="str">
        <f>Table1[[#This Row],[City or Community (Contra Costa)]]</f>
        <v>Martinez</v>
      </c>
      <c r="AD143" s="12">
        <f>COUNTIF(D:D,Table1[[#This Row],[City or Community (Contra Costa)]])</f>
        <v>26</v>
      </c>
      <c r="AE143" s="12" t="str">
        <f>Table1[[#This Row],[Please select your county]]</f>
        <v>Contra Costa County</v>
      </c>
      <c r="AF143" s="41">
        <f>COUNTIF(AE:AE,Table1[[#This Row],[County]])</f>
        <v>131</v>
      </c>
      <c r="AG143" s="12">
        <v>2025</v>
      </c>
    </row>
    <row r="144" spans="1:33" ht="15.5" x14ac:dyDescent="0.35">
      <c r="A144" s="12">
        <v>565</v>
      </c>
      <c r="B144" s="12" t="s">
        <v>146</v>
      </c>
      <c r="C144" s="12"/>
      <c r="D144" s="12" t="s">
        <v>330</v>
      </c>
      <c r="E144" s="12"/>
      <c r="F144" s="12"/>
      <c r="G144" s="12"/>
      <c r="H144" s="12"/>
      <c r="I144" s="12"/>
      <c r="J144" s="12"/>
      <c r="K144" s="12" t="s">
        <v>267</v>
      </c>
      <c r="L144" s="12" t="s">
        <v>279</v>
      </c>
      <c r="M144" s="12" t="s">
        <v>303</v>
      </c>
      <c r="N144" s="12" t="s">
        <v>280</v>
      </c>
      <c r="O144" s="12" t="s">
        <v>38</v>
      </c>
      <c r="P144" s="12">
        <v>450</v>
      </c>
      <c r="Q144" s="12" t="s">
        <v>281</v>
      </c>
      <c r="R144" s="12" t="s">
        <v>69</v>
      </c>
      <c r="S144" s="12" t="s">
        <v>297</v>
      </c>
      <c r="T144" s="12" t="s">
        <v>159</v>
      </c>
      <c r="U144" s="12" t="s">
        <v>160</v>
      </c>
      <c r="V144" s="12"/>
      <c r="W144" s="12"/>
      <c r="X144" s="12"/>
      <c r="Y144" s="12"/>
      <c r="Z144" s="12"/>
      <c r="AA144" s="12"/>
      <c r="AB144" s="12"/>
      <c r="AC144" s="12" t="str">
        <f>Table1[[#This Row],[City or Community (Contra Costa)]]</f>
        <v>Martinez</v>
      </c>
      <c r="AD144" s="12">
        <f>COUNTIF(D:D,Table1[[#This Row],[City or Community (Contra Costa)]])</f>
        <v>26</v>
      </c>
      <c r="AE144" s="12" t="str">
        <f>Table1[[#This Row],[Please select your county]]</f>
        <v>Contra Costa County</v>
      </c>
      <c r="AF144" s="41">
        <f>COUNTIF(AE:AE,Table1[[#This Row],[County]])</f>
        <v>131</v>
      </c>
      <c r="AG144" s="12">
        <v>2025</v>
      </c>
    </row>
    <row r="145" spans="1:33" ht="15.5" x14ac:dyDescent="0.35">
      <c r="A145" s="12">
        <v>124</v>
      </c>
      <c r="B145" s="12" t="s">
        <v>146</v>
      </c>
      <c r="C145" s="12"/>
      <c r="D145" s="12" t="s">
        <v>330</v>
      </c>
      <c r="E145" s="12"/>
      <c r="F145" s="12"/>
      <c r="G145" s="12"/>
      <c r="H145" s="12"/>
      <c r="I145" s="12"/>
      <c r="J145" s="12"/>
      <c r="K145" s="10" t="s">
        <v>321</v>
      </c>
      <c r="L145" s="10"/>
      <c r="M145" s="10"/>
      <c r="N145" s="10"/>
      <c r="O145" s="12" t="s">
        <v>38</v>
      </c>
      <c r="P145" s="12">
        <v>470</v>
      </c>
      <c r="Q145" s="12" t="s">
        <v>281</v>
      </c>
      <c r="R145" s="12" t="s">
        <v>67</v>
      </c>
      <c r="S145" s="12" t="s">
        <v>292</v>
      </c>
      <c r="T145" s="12" t="s">
        <v>159</v>
      </c>
      <c r="U145" s="12" t="s">
        <v>159</v>
      </c>
      <c r="V145" s="12" t="s">
        <v>163</v>
      </c>
      <c r="W145" s="12" t="s">
        <v>332</v>
      </c>
      <c r="X145" s="12" t="s">
        <v>333</v>
      </c>
      <c r="Y145" s="12" t="s">
        <v>290</v>
      </c>
      <c r="Z145" s="12"/>
      <c r="AA145" s="12" t="s">
        <v>295</v>
      </c>
      <c r="AB145" s="12" t="s">
        <v>190</v>
      </c>
      <c r="AC145" s="12" t="str">
        <f>Table1[[#This Row],[City or Community (Contra Costa)]]</f>
        <v>Martinez</v>
      </c>
      <c r="AD145" s="12">
        <f>COUNTIF(D:D,Table1[[#This Row],[City or Community (Contra Costa)]])</f>
        <v>26</v>
      </c>
      <c r="AE145" s="12" t="str">
        <f>Table1[[#This Row],[Please select your county]]</f>
        <v>Contra Costa County</v>
      </c>
      <c r="AF145" s="41">
        <f>COUNTIF(AE:AE,Table1[[#This Row],[County]])</f>
        <v>131</v>
      </c>
      <c r="AG145" s="12">
        <v>2025</v>
      </c>
    </row>
    <row r="146" spans="1:33" ht="31" x14ac:dyDescent="0.35">
      <c r="A146" s="12">
        <v>265</v>
      </c>
      <c r="B146" s="12" t="s">
        <v>146</v>
      </c>
      <c r="C146" s="12"/>
      <c r="D146" s="12" t="s">
        <v>330</v>
      </c>
      <c r="E146" s="12"/>
      <c r="F146" s="12"/>
      <c r="G146" s="12"/>
      <c r="H146" s="12"/>
      <c r="I146" s="12"/>
      <c r="J146" s="12"/>
      <c r="K146" s="10" t="s">
        <v>293</v>
      </c>
      <c r="L146" s="10"/>
      <c r="M146" s="10"/>
      <c r="N146" s="10"/>
      <c r="O146" s="12" t="s">
        <v>38</v>
      </c>
      <c r="P146" s="12">
        <v>480</v>
      </c>
      <c r="Q146" s="12" t="s">
        <v>281</v>
      </c>
      <c r="R146" s="12" t="s">
        <v>70</v>
      </c>
      <c r="S146" s="12" t="s">
        <v>276</v>
      </c>
      <c r="T146" s="12" t="s">
        <v>159</v>
      </c>
      <c r="U146" s="12" t="s">
        <v>159</v>
      </c>
      <c r="V146" s="12" t="s">
        <v>163</v>
      </c>
      <c r="W146" s="12" t="s">
        <v>289</v>
      </c>
      <c r="X146" s="12"/>
      <c r="Y146" s="12" t="s">
        <v>290</v>
      </c>
      <c r="Z146" s="12"/>
      <c r="AA146" s="12" t="s">
        <v>286</v>
      </c>
      <c r="AB146" s="12" t="s">
        <v>189</v>
      </c>
      <c r="AC146" s="12" t="str">
        <f>Table1[[#This Row],[City or Community (Contra Costa)]]</f>
        <v>Martinez</v>
      </c>
      <c r="AD146" s="12">
        <f>COUNTIF(D:D,Table1[[#This Row],[City or Community (Contra Costa)]])</f>
        <v>26</v>
      </c>
      <c r="AE146" s="12" t="str">
        <f>Table1[[#This Row],[Please select your county]]</f>
        <v>Contra Costa County</v>
      </c>
      <c r="AF146" s="41">
        <f>COUNTIF(AE:AE,Table1[[#This Row],[County]])</f>
        <v>131</v>
      </c>
      <c r="AG146" s="12">
        <v>2025</v>
      </c>
    </row>
    <row r="147" spans="1:33" ht="31" x14ac:dyDescent="0.35">
      <c r="A147" s="12">
        <v>388</v>
      </c>
      <c r="B147" s="12" t="s">
        <v>146</v>
      </c>
      <c r="C147" s="12"/>
      <c r="D147" s="12" t="s">
        <v>330</v>
      </c>
      <c r="E147" s="12"/>
      <c r="F147" s="12"/>
      <c r="G147" s="12"/>
      <c r="H147" s="12"/>
      <c r="I147" s="12"/>
      <c r="J147" s="12"/>
      <c r="K147" s="10" t="s">
        <v>267</v>
      </c>
      <c r="L147" s="10" t="s">
        <v>312</v>
      </c>
      <c r="M147" s="10" t="s">
        <v>269</v>
      </c>
      <c r="N147" s="10" t="s">
        <v>278</v>
      </c>
      <c r="O147" s="12" t="s">
        <v>38</v>
      </c>
      <c r="P147" s="12">
        <v>480</v>
      </c>
      <c r="Q147" s="12" t="s">
        <v>281</v>
      </c>
      <c r="R147" s="12" t="s">
        <v>70</v>
      </c>
      <c r="S147" s="12" t="s">
        <v>275</v>
      </c>
      <c r="T147" s="12" t="s">
        <v>83</v>
      </c>
      <c r="U147" s="12" t="s">
        <v>160</v>
      </c>
      <c r="V147" s="12"/>
      <c r="W147" s="12"/>
      <c r="X147" s="12"/>
      <c r="Y147" s="12"/>
      <c r="Z147" s="12"/>
      <c r="AA147" s="12"/>
      <c r="AB147" s="12"/>
      <c r="AC147" s="12" t="str">
        <f>Table1[[#This Row],[City or Community (Contra Costa)]]</f>
        <v>Martinez</v>
      </c>
      <c r="AD147" s="12">
        <f>COUNTIF(D:D,Table1[[#This Row],[City or Community (Contra Costa)]])</f>
        <v>26</v>
      </c>
      <c r="AE147" s="12" t="str">
        <f>Table1[[#This Row],[Please select your county]]</f>
        <v>Contra Costa County</v>
      </c>
      <c r="AF147" s="41">
        <f>COUNTIF(AE:AE,Table1[[#This Row],[County]])</f>
        <v>131</v>
      </c>
      <c r="AG147" s="12">
        <v>2025</v>
      </c>
    </row>
    <row r="148" spans="1:33" ht="15.5" x14ac:dyDescent="0.35">
      <c r="A148" s="12">
        <v>122</v>
      </c>
      <c r="B148" s="12" t="s">
        <v>146</v>
      </c>
      <c r="C148" s="12"/>
      <c r="D148" s="12" t="s">
        <v>330</v>
      </c>
      <c r="E148" s="12"/>
      <c r="F148" s="12"/>
      <c r="G148" s="12"/>
      <c r="H148" s="12"/>
      <c r="I148" s="12"/>
      <c r="J148" s="12"/>
      <c r="K148" s="10" t="s">
        <v>294</v>
      </c>
      <c r="L148" s="10"/>
      <c r="M148" s="10"/>
      <c r="N148" s="10"/>
      <c r="O148" s="12" t="s">
        <v>38</v>
      </c>
      <c r="P148" s="12">
        <v>485</v>
      </c>
      <c r="Q148" s="12" t="s">
        <v>295</v>
      </c>
      <c r="R148" s="12" t="s">
        <v>79</v>
      </c>
      <c r="S148" s="12" t="s">
        <v>292</v>
      </c>
      <c r="T148" s="12" t="s">
        <v>159</v>
      </c>
      <c r="U148" s="12" t="s">
        <v>160</v>
      </c>
      <c r="V148" s="12"/>
      <c r="W148" s="12"/>
      <c r="X148" s="12"/>
      <c r="Y148" s="12"/>
      <c r="Z148" s="12"/>
      <c r="AA148" s="12"/>
      <c r="AB148" s="12"/>
      <c r="AC148" s="12" t="str">
        <f>Table1[[#This Row],[City or Community (Contra Costa)]]</f>
        <v>Martinez</v>
      </c>
      <c r="AD148" s="12">
        <f>COUNTIF(D:D,Table1[[#This Row],[City or Community (Contra Costa)]])</f>
        <v>26</v>
      </c>
      <c r="AE148" s="12" t="str">
        <f>Table1[[#This Row],[Please select your county]]</f>
        <v>Contra Costa County</v>
      </c>
      <c r="AF148" s="41">
        <f>COUNTIF(AE:AE,Table1[[#This Row],[County]])</f>
        <v>131</v>
      </c>
      <c r="AG148" s="12">
        <v>2025</v>
      </c>
    </row>
    <row r="149" spans="1:33" ht="15.5" x14ac:dyDescent="0.35">
      <c r="A149" s="12">
        <v>123</v>
      </c>
      <c r="B149" s="12" t="s">
        <v>146</v>
      </c>
      <c r="C149" s="12"/>
      <c r="D149" s="12" t="s">
        <v>330</v>
      </c>
      <c r="E149" s="12"/>
      <c r="F149" s="12"/>
      <c r="G149" s="12"/>
      <c r="H149" s="12"/>
      <c r="I149" s="12"/>
      <c r="J149" s="12"/>
      <c r="K149" s="10" t="s">
        <v>294</v>
      </c>
      <c r="L149" s="10"/>
      <c r="M149" s="10"/>
      <c r="N149" s="10"/>
      <c r="O149" s="12" t="s">
        <v>38</v>
      </c>
      <c r="P149" s="12">
        <v>485</v>
      </c>
      <c r="Q149" s="12" t="s">
        <v>295</v>
      </c>
      <c r="R149" s="12" t="s">
        <v>79</v>
      </c>
      <c r="S149" s="12" t="s">
        <v>292</v>
      </c>
      <c r="T149" s="12" t="s">
        <v>159</v>
      </c>
      <c r="U149" s="12" t="s">
        <v>160</v>
      </c>
      <c r="V149" s="12"/>
      <c r="W149" s="12"/>
      <c r="X149" s="12"/>
      <c r="Y149" s="12"/>
      <c r="Z149" s="12"/>
      <c r="AA149" s="12"/>
      <c r="AB149" s="12"/>
      <c r="AC149" s="12" t="str">
        <f>Table1[[#This Row],[City or Community (Contra Costa)]]</f>
        <v>Martinez</v>
      </c>
      <c r="AD149" s="12">
        <f>COUNTIF(D:D,Table1[[#This Row],[City or Community (Contra Costa)]])</f>
        <v>26</v>
      </c>
      <c r="AE149" s="12" t="str">
        <f>Table1[[#This Row],[Please select your county]]</f>
        <v>Contra Costa County</v>
      </c>
      <c r="AF149" s="41">
        <f>COUNTIF(AE:AE,Table1[[#This Row],[County]])</f>
        <v>131</v>
      </c>
      <c r="AG149" s="12">
        <v>2025</v>
      </c>
    </row>
    <row r="150" spans="1:33" ht="15.5" x14ac:dyDescent="0.35">
      <c r="A150" s="12">
        <v>96</v>
      </c>
      <c r="B150" s="12" t="s">
        <v>146</v>
      </c>
      <c r="C150" s="12"/>
      <c r="D150" s="12" t="s">
        <v>330</v>
      </c>
      <c r="E150" s="12"/>
      <c r="F150" s="12"/>
      <c r="G150" s="12"/>
      <c r="H150" s="12"/>
      <c r="I150" s="12"/>
      <c r="J150" s="12"/>
      <c r="K150" s="10" t="s">
        <v>274</v>
      </c>
      <c r="L150" s="10"/>
      <c r="M150" s="10"/>
      <c r="N150" s="10"/>
      <c r="O150" s="12" t="s">
        <v>38</v>
      </c>
      <c r="P150" s="12">
        <v>500</v>
      </c>
      <c r="Q150" s="12" t="s">
        <v>281</v>
      </c>
      <c r="R150" s="12" t="s">
        <v>79</v>
      </c>
      <c r="S150" s="12" t="s">
        <v>292</v>
      </c>
      <c r="T150" s="12" t="s">
        <v>159</v>
      </c>
      <c r="U150" s="12" t="s">
        <v>160</v>
      </c>
      <c r="V150" s="12"/>
      <c r="W150" s="12"/>
      <c r="X150" s="12"/>
      <c r="Y150" s="12"/>
      <c r="Z150" s="12"/>
      <c r="AA150" s="12"/>
      <c r="AB150" s="12"/>
      <c r="AC150" s="12" t="str">
        <f>Table1[[#This Row],[City or Community (Contra Costa)]]</f>
        <v>Martinez</v>
      </c>
      <c r="AD150" s="12">
        <f>COUNTIF(D:D,Table1[[#This Row],[City or Community (Contra Costa)]])</f>
        <v>26</v>
      </c>
      <c r="AE150" s="12" t="str">
        <f>Table1[[#This Row],[Please select your county]]</f>
        <v>Contra Costa County</v>
      </c>
      <c r="AF150" s="41">
        <f>COUNTIF(AE:AE,Table1[[#This Row],[County]])</f>
        <v>131</v>
      </c>
      <c r="AG150" s="12">
        <v>2025</v>
      </c>
    </row>
    <row r="151" spans="1:33" ht="15.5" x14ac:dyDescent="0.35">
      <c r="A151" s="12">
        <v>530</v>
      </c>
      <c r="B151" s="12" t="s">
        <v>146</v>
      </c>
      <c r="C151" s="12"/>
      <c r="D151" s="12" t="s">
        <v>330</v>
      </c>
      <c r="E151" s="12"/>
      <c r="F151" s="12"/>
      <c r="G151" s="12"/>
      <c r="H151" s="12"/>
      <c r="I151" s="12"/>
      <c r="J151" s="12"/>
      <c r="K151" s="12" t="s">
        <v>274</v>
      </c>
      <c r="L151" s="12" t="s">
        <v>279</v>
      </c>
      <c r="M151" s="12" t="s">
        <v>269</v>
      </c>
      <c r="N151" s="12" t="s">
        <v>280</v>
      </c>
      <c r="O151" s="12" t="s">
        <v>38</v>
      </c>
      <c r="P151" s="12">
        <v>585</v>
      </c>
      <c r="Q151" s="12" t="s">
        <v>295</v>
      </c>
      <c r="R151" s="12" t="s">
        <v>165</v>
      </c>
      <c r="S151" s="12" t="s">
        <v>276</v>
      </c>
      <c r="T151" s="12" t="s">
        <v>159</v>
      </c>
      <c r="U151" s="12" t="s">
        <v>160</v>
      </c>
      <c r="V151" s="12"/>
      <c r="W151" s="12"/>
      <c r="X151" s="12"/>
      <c r="Y151" s="12"/>
      <c r="Z151" s="12"/>
      <c r="AA151" s="12"/>
      <c r="AB151" s="12"/>
      <c r="AC151" s="12" t="str">
        <f>Table1[[#This Row],[City or Community (Contra Costa)]]</f>
        <v>Martinez</v>
      </c>
      <c r="AD151" s="12">
        <f>COUNTIF(D:D,Table1[[#This Row],[City or Community (Contra Costa)]])</f>
        <v>26</v>
      </c>
      <c r="AE151" s="12" t="str">
        <f>Table1[[#This Row],[Please select your county]]</f>
        <v>Contra Costa County</v>
      </c>
      <c r="AF151" s="41">
        <f>COUNTIF(AE:AE,Table1[[#This Row],[County]])</f>
        <v>131</v>
      </c>
      <c r="AG151" s="12">
        <v>2025</v>
      </c>
    </row>
    <row r="152" spans="1:33" ht="15.5" x14ac:dyDescent="0.35">
      <c r="A152" s="12">
        <v>540</v>
      </c>
      <c r="B152" s="12" t="s">
        <v>146</v>
      </c>
      <c r="C152" s="12"/>
      <c r="D152" s="12" t="s">
        <v>330</v>
      </c>
      <c r="E152" s="12"/>
      <c r="F152" s="12"/>
      <c r="G152" s="12"/>
      <c r="H152" s="12"/>
      <c r="I152" s="12"/>
      <c r="J152" s="12"/>
      <c r="K152" s="10" t="s">
        <v>274</v>
      </c>
      <c r="L152" s="10" t="s">
        <v>279</v>
      </c>
      <c r="M152" s="10" t="s">
        <v>269</v>
      </c>
      <c r="N152" s="10" t="s">
        <v>270</v>
      </c>
      <c r="O152" s="12" t="s">
        <v>38</v>
      </c>
      <c r="P152" s="12">
        <v>585</v>
      </c>
      <c r="Q152" s="12" t="s">
        <v>295</v>
      </c>
      <c r="R152" s="12" t="s">
        <v>79</v>
      </c>
      <c r="S152" s="12" t="s">
        <v>275</v>
      </c>
      <c r="T152" s="12" t="s">
        <v>159</v>
      </c>
      <c r="U152" s="12" t="s">
        <v>159</v>
      </c>
      <c r="V152" s="12" t="s">
        <v>164</v>
      </c>
      <c r="W152" s="12" t="s">
        <v>289</v>
      </c>
      <c r="X152" s="12"/>
      <c r="Y152" s="12" t="s">
        <v>290</v>
      </c>
      <c r="Z152" s="12"/>
      <c r="AA152" s="12" t="s">
        <v>300</v>
      </c>
      <c r="AB152" s="12"/>
      <c r="AC152" s="12" t="str">
        <f>Table1[[#This Row],[City or Community (Contra Costa)]]</f>
        <v>Martinez</v>
      </c>
      <c r="AD152" s="12">
        <f>COUNTIF(D:D,Table1[[#This Row],[City or Community (Contra Costa)]])</f>
        <v>26</v>
      </c>
      <c r="AE152" s="12" t="str">
        <f>Table1[[#This Row],[Please select your county]]</f>
        <v>Contra Costa County</v>
      </c>
      <c r="AF152" s="41">
        <f>COUNTIF(AE:AE,Table1[[#This Row],[County]])</f>
        <v>131</v>
      </c>
      <c r="AG152" s="12">
        <v>2025</v>
      </c>
    </row>
    <row r="153" spans="1:33" ht="15.5" x14ac:dyDescent="0.35">
      <c r="A153" s="12">
        <v>583</v>
      </c>
      <c r="B153" s="12" t="s">
        <v>146</v>
      </c>
      <c r="C153" s="12"/>
      <c r="D153" s="12" t="s">
        <v>330</v>
      </c>
      <c r="E153" s="12"/>
      <c r="F153" s="12"/>
      <c r="G153" s="12"/>
      <c r="H153" s="12"/>
      <c r="I153" s="12"/>
      <c r="J153" s="12"/>
      <c r="K153" s="10" t="s">
        <v>267</v>
      </c>
      <c r="L153" s="10" t="s">
        <v>277</v>
      </c>
      <c r="M153" s="10" t="s">
        <v>269</v>
      </c>
      <c r="N153" s="10" t="s">
        <v>270</v>
      </c>
      <c r="O153" s="12" t="s">
        <v>38</v>
      </c>
      <c r="P153" s="12">
        <v>620</v>
      </c>
      <c r="Q153" s="12" t="s">
        <v>281</v>
      </c>
      <c r="R153" s="12" t="s">
        <v>68</v>
      </c>
      <c r="S153" s="12" t="s">
        <v>276</v>
      </c>
      <c r="T153" s="12" t="s">
        <v>159</v>
      </c>
      <c r="U153" s="12" t="s">
        <v>160</v>
      </c>
      <c r="V153" s="12"/>
      <c r="W153" s="12"/>
      <c r="X153" s="12"/>
      <c r="Y153" s="12"/>
      <c r="Z153" s="12"/>
      <c r="AA153" s="12"/>
      <c r="AB153" s="12"/>
      <c r="AC153" s="12" t="str">
        <f>Table1[[#This Row],[City or Community (Contra Costa)]]</f>
        <v>Martinez</v>
      </c>
      <c r="AD153" s="12">
        <f>COUNTIF(D:D,Table1[[#This Row],[City or Community (Contra Costa)]])</f>
        <v>26</v>
      </c>
      <c r="AE153" s="12" t="str">
        <f>Table1[[#This Row],[Please select your county]]</f>
        <v>Contra Costa County</v>
      </c>
      <c r="AF153" s="41">
        <f>COUNTIF(AE:AE,Table1[[#This Row],[County]])</f>
        <v>131</v>
      </c>
      <c r="AG153" s="12">
        <v>2025</v>
      </c>
    </row>
    <row r="154" spans="1:33" ht="15.5" x14ac:dyDescent="0.35">
      <c r="A154" s="12">
        <v>131</v>
      </c>
      <c r="B154" s="12" t="s">
        <v>146</v>
      </c>
      <c r="C154" s="12"/>
      <c r="D154" s="12" t="s">
        <v>330</v>
      </c>
      <c r="E154" s="12"/>
      <c r="F154" s="12"/>
      <c r="G154" s="12"/>
      <c r="H154" s="12"/>
      <c r="I154" s="12"/>
      <c r="J154" s="12"/>
      <c r="K154" s="10" t="s">
        <v>294</v>
      </c>
      <c r="L154" s="10"/>
      <c r="M154" s="10"/>
      <c r="N154" s="10"/>
      <c r="O154" s="12" t="s">
        <v>38</v>
      </c>
      <c r="P154" s="12">
        <v>650</v>
      </c>
      <c r="Q154" s="12" t="s">
        <v>281</v>
      </c>
      <c r="R154" s="12" t="s">
        <v>79</v>
      </c>
      <c r="S154" s="12" t="s">
        <v>276</v>
      </c>
      <c r="T154" s="12" t="s">
        <v>160</v>
      </c>
      <c r="U154" s="12" t="s">
        <v>160</v>
      </c>
      <c r="V154" s="12"/>
      <c r="W154" s="12"/>
      <c r="X154" s="12"/>
      <c r="Y154" s="12"/>
      <c r="Z154" s="12"/>
      <c r="AA154" s="12"/>
      <c r="AB154" s="12"/>
      <c r="AC154" s="12" t="str">
        <f>Table1[[#This Row],[City or Community (Contra Costa)]]</f>
        <v>Martinez</v>
      </c>
      <c r="AD154" s="12">
        <f>COUNTIF(D:D,Table1[[#This Row],[City or Community (Contra Costa)]])</f>
        <v>26</v>
      </c>
      <c r="AE154" s="12" t="str">
        <f>Table1[[#This Row],[Please select your county]]</f>
        <v>Contra Costa County</v>
      </c>
      <c r="AF154" s="41">
        <f>COUNTIF(AE:AE,Table1[[#This Row],[County]])</f>
        <v>131</v>
      </c>
      <c r="AG154" s="12">
        <v>2025</v>
      </c>
    </row>
    <row r="155" spans="1:33" ht="31" x14ac:dyDescent="0.35">
      <c r="A155" s="12">
        <v>560</v>
      </c>
      <c r="B155" s="12" t="s">
        <v>146</v>
      </c>
      <c r="C155" s="12"/>
      <c r="D155" s="12" t="s">
        <v>330</v>
      </c>
      <c r="E155" s="12"/>
      <c r="F155" s="12"/>
      <c r="G155" s="12"/>
      <c r="H155" s="12"/>
      <c r="I155" s="12"/>
      <c r="J155" s="12"/>
      <c r="K155" s="10" t="s">
        <v>267</v>
      </c>
      <c r="L155" s="10" t="s">
        <v>279</v>
      </c>
      <c r="M155" s="10" t="s">
        <v>269</v>
      </c>
      <c r="N155" s="10" t="s">
        <v>280</v>
      </c>
      <c r="O155" s="12" t="s">
        <v>38</v>
      </c>
      <c r="P155" s="12">
        <v>650</v>
      </c>
      <c r="Q155" s="12" t="s">
        <v>281</v>
      </c>
      <c r="R155" s="12" t="s">
        <v>70</v>
      </c>
      <c r="S155" s="12" t="s">
        <v>298</v>
      </c>
      <c r="T155" s="12" t="s">
        <v>159</v>
      </c>
      <c r="U155" s="12" t="s">
        <v>159</v>
      </c>
      <c r="V155" s="12" t="s">
        <v>162</v>
      </c>
      <c r="W155" s="12" t="s">
        <v>289</v>
      </c>
      <c r="X155" s="12"/>
      <c r="Y155" s="12" t="s">
        <v>290</v>
      </c>
      <c r="Z155" s="12"/>
      <c r="AA155" s="12" t="s">
        <v>281</v>
      </c>
      <c r="AB155" s="12" t="s">
        <v>188</v>
      </c>
      <c r="AC155" s="12" t="str">
        <f>Table1[[#This Row],[City or Community (Contra Costa)]]</f>
        <v>Martinez</v>
      </c>
      <c r="AD155" s="12">
        <f>COUNTIF(D:D,Table1[[#This Row],[City or Community (Contra Costa)]])</f>
        <v>26</v>
      </c>
      <c r="AE155" s="12" t="str">
        <f>Table1[[#This Row],[Please select your county]]</f>
        <v>Contra Costa County</v>
      </c>
      <c r="AF155" s="41">
        <f>COUNTIF(AE:AE,Table1[[#This Row],[County]])</f>
        <v>131</v>
      </c>
      <c r="AG155" s="12">
        <v>2025</v>
      </c>
    </row>
    <row r="156" spans="1:33" ht="15.5" x14ac:dyDescent="0.35">
      <c r="A156" s="12">
        <v>298</v>
      </c>
      <c r="B156" s="12" t="s">
        <v>146</v>
      </c>
      <c r="C156" s="12"/>
      <c r="D156" s="12" t="s">
        <v>330</v>
      </c>
      <c r="E156" s="12"/>
      <c r="F156" s="12"/>
      <c r="G156" s="12"/>
      <c r="H156" s="12"/>
      <c r="I156" s="12"/>
      <c r="J156" s="12"/>
      <c r="K156" s="10" t="s">
        <v>267</v>
      </c>
      <c r="L156" s="10"/>
      <c r="M156" s="10"/>
      <c r="N156" s="10"/>
      <c r="O156" s="12" t="s">
        <v>38</v>
      </c>
      <c r="P156" s="12">
        <v>700</v>
      </c>
      <c r="Q156" s="12" t="s">
        <v>295</v>
      </c>
      <c r="R156" s="12" t="s">
        <v>72</v>
      </c>
      <c r="S156" s="12" t="s">
        <v>272</v>
      </c>
      <c r="T156" s="12" t="s">
        <v>159</v>
      </c>
      <c r="U156" s="12" t="s">
        <v>160</v>
      </c>
      <c r="V156" s="12"/>
      <c r="W156" s="12"/>
      <c r="X156" s="12"/>
      <c r="Y156" s="12"/>
      <c r="Z156" s="12"/>
      <c r="AA156" s="12"/>
      <c r="AB156" s="12"/>
      <c r="AC156" s="12" t="str">
        <f>Table1[[#This Row],[City or Community (Contra Costa)]]</f>
        <v>Martinez</v>
      </c>
      <c r="AD156" s="12">
        <f>COUNTIF(D:D,Table1[[#This Row],[City or Community (Contra Costa)]])</f>
        <v>26</v>
      </c>
      <c r="AE156" s="12" t="str">
        <f>Table1[[#This Row],[Please select your county]]</f>
        <v>Contra Costa County</v>
      </c>
      <c r="AF156" s="41">
        <f>COUNTIF(AE:AE,Table1[[#This Row],[County]])</f>
        <v>131</v>
      </c>
      <c r="AG156" s="12">
        <v>2025</v>
      </c>
    </row>
    <row r="157" spans="1:33" ht="31" x14ac:dyDescent="0.35">
      <c r="A157" s="12">
        <v>505</v>
      </c>
      <c r="B157" s="12" t="s">
        <v>146</v>
      </c>
      <c r="C157" s="12"/>
      <c r="D157" s="12" t="s">
        <v>330</v>
      </c>
      <c r="E157" s="12"/>
      <c r="F157" s="12"/>
      <c r="G157" s="12"/>
      <c r="H157" s="12"/>
      <c r="I157" s="12"/>
      <c r="J157" s="12"/>
      <c r="K157" s="10" t="s">
        <v>273</v>
      </c>
      <c r="L157" s="10" t="s">
        <v>279</v>
      </c>
      <c r="M157" s="10" t="s">
        <v>303</v>
      </c>
      <c r="N157" s="10" t="s">
        <v>280</v>
      </c>
      <c r="O157" s="12" t="s">
        <v>39</v>
      </c>
      <c r="P157" s="12">
        <v>700</v>
      </c>
      <c r="Q157" s="12" t="s">
        <v>295</v>
      </c>
      <c r="R157" s="12" t="s">
        <v>76</v>
      </c>
      <c r="S157" s="12" t="s">
        <v>272</v>
      </c>
      <c r="T157" s="12" t="s">
        <v>159</v>
      </c>
      <c r="U157" s="12" t="s">
        <v>160</v>
      </c>
      <c r="V157" s="12"/>
      <c r="W157" s="12"/>
      <c r="X157" s="12"/>
      <c r="Y157" s="12"/>
      <c r="Z157" s="12"/>
      <c r="AA157" s="12"/>
      <c r="AB157" s="12"/>
      <c r="AC157" s="12" t="str">
        <f>Table1[[#This Row],[City or Community (Contra Costa)]]</f>
        <v>Martinez</v>
      </c>
      <c r="AD157" s="12">
        <f>COUNTIF(D:D,Table1[[#This Row],[City or Community (Contra Costa)]])</f>
        <v>26</v>
      </c>
      <c r="AE157" s="12" t="str">
        <f>Table1[[#This Row],[Please select your county]]</f>
        <v>Contra Costa County</v>
      </c>
      <c r="AF157" s="41">
        <f>COUNTIF(AE:AE,Table1[[#This Row],[County]])</f>
        <v>131</v>
      </c>
      <c r="AG157" s="12">
        <v>2025</v>
      </c>
    </row>
    <row r="158" spans="1:33" ht="31" x14ac:dyDescent="0.35">
      <c r="A158" s="12">
        <v>357</v>
      </c>
      <c r="B158" s="12" t="s">
        <v>146</v>
      </c>
      <c r="C158" s="12"/>
      <c r="D158" s="12" t="s">
        <v>330</v>
      </c>
      <c r="E158" s="12"/>
      <c r="F158" s="12"/>
      <c r="G158" s="12"/>
      <c r="H158" s="12"/>
      <c r="I158" s="12"/>
      <c r="J158" s="12"/>
      <c r="K158" s="10" t="s">
        <v>308</v>
      </c>
      <c r="L158" s="10" t="s">
        <v>279</v>
      </c>
      <c r="M158" s="10" t="s">
        <v>269</v>
      </c>
      <c r="N158" s="10" t="s">
        <v>280</v>
      </c>
      <c r="O158" s="12" t="s">
        <v>38</v>
      </c>
      <c r="P158" s="12">
        <v>745</v>
      </c>
      <c r="Q158" s="12" t="s">
        <v>295</v>
      </c>
      <c r="R158" s="12" t="s">
        <v>71</v>
      </c>
      <c r="S158" s="12" t="s">
        <v>275</v>
      </c>
      <c r="T158" s="12" t="s">
        <v>159</v>
      </c>
      <c r="U158" s="12" t="s">
        <v>160</v>
      </c>
      <c r="V158" s="12"/>
      <c r="W158" s="12"/>
      <c r="X158" s="12"/>
      <c r="Y158" s="12"/>
      <c r="Z158" s="12"/>
      <c r="AA158" s="12"/>
      <c r="AB158" s="12"/>
      <c r="AC158" s="12" t="str">
        <f>Table1[[#This Row],[City or Community (Contra Costa)]]</f>
        <v>Martinez</v>
      </c>
      <c r="AD158" s="12">
        <f>COUNTIF(D:D,Table1[[#This Row],[City or Community (Contra Costa)]])</f>
        <v>26</v>
      </c>
      <c r="AE158" s="12" t="str">
        <f>Table1[[#This Row],[Please select your county]]</f>
        <v>Contra Costa County</v>
      </c>
      <c r="AF158" s="41">
        <f>COUNTIF(AE:AE,Table1[[#This Row],[County]])</f>
        <v>131</v>
      </c>
      <c r="AG158" s="12">
        <v>2025</v>
      </c>
    </row>
    <row r="159" spans="1:33" ht="31" x14ac:dyDescent="0.35">
      <c r="A159" s="12">
        <v>566</v>
      </c>
      <c r="B159" s="12" t="s">
        <v>146</v>
      </c>
      <c r="C159" s="12"/>
      <c r="D159" s="12" t="s">
        <v>330</v>
      </c>
      <c r="E159" s="12"/>
      <c r="F159" s="12"/>
      <c r="G159" s="12"/>
      <c r="H159" s="12"/>
      <c r="I159" s="12"/>
      <c r="J159" s="12"/>
      <c r="K159" s="10" t="s">
        <v>267</v>
      </c>
      <c r="L159" s="10" t="s">
        <v>279</v>
      </c>
      <c r="M159" s="10" t="s">
        <v>303</v>
      </c>
      <c r="N159" s="10" t="s">
        <v>280</v>
      </c>
      <c r="O159" s="12" t="s">
        <v>38</v>
      </c>
      <c r="P159" s="12">
        <v>749</v>
      </c>
      <c r="Q159" s="12" t="s">
        <v>295</v>
      </c>
      <c r="R159" s="12" t="s">
        <v>71</v>
      </c>
      <c r="S159" s="12" t="s">
        <v>297</v>
      </c>
      <c r="T159" s="12" t="s">
        <v>159</v>
      </c>
      <c r="U159" s="12" t="s">
        <v>160</v>
      </c>
      <c r="V159" s="12"/>
      <c r="W159" s="12"/>
      <c r="X159" s="12"/>
      <c r="Y159" s="12"/>
      <c r="Z159" s="12"/>
      <c r="AA159" s="12"/>
      <c r="AB159" s="12"/>
      <c r="AC159" s="12" t="str">
        <f>Table1[[#This Row],[City or Community (Contra Costa)]]</f>
        <v>Martinez</v>
      </c>
      <c r="AD159" s="12">
        <f>COUNTIF(D:D,Table1[[#This Row],[City or Community (Contra Costa)]])</f>
        <v>26</v>
      </c>
      <c r="AE159" s="12" t="str">
        <f>Table1[[#This Row],[Please select your county]]</f>
        <v>Contra Costa County</v>
      </c>
      <c r="AF159" s="41">
        <f>COUNTIF(AE:AE,Table1[[#This Row],[County]])</f>
        <v>131</v>
      </c>
      <c r="AG159" s="12">
        <v>2025</v>
      </c>
    </row>
    <row r="160" spans="1:33" ht="31" x14ac:dyDescent="0.35">
      <c r="A160" s="12">
        <v>567</v>
      </c>
      <c r="B160" s="12" t="s">
        <v>146</v>
      </c>
      <c r="C160" s="12"/>
      <c r="D160" s="12" t="s">
        <v>330</v>
      </c>
      <c r="E160" s="12"/>
      <c r="F160" s="12"/>
      <c r="G160" s="12"/>
      <c r="H160" s="12"/>
      <c r="I160" s="12"/>
      <c r="J160" s="12"/>
      <c r="K160" s="10" t="s">
        <v>267</v>
      </c>
      <c r="L160" s="10" t="s">
        <v>279</v>
      </c>
      <c r="M160" s="10" t="s">
        <v>303</v>
      </c>
      <c r="N160" s="10" t="s">
        <v>288</v>
      </c>
      <c r="O160" s="12" t="s">
        <v>38</v>
      </c>
      <c r="P160" s="12">
        <v>749</v>
      </c>
      <c r="Q160" s="12" t="s">
        <v>295</v>
      </c>
      <c r="R160" s="12" t="s">
        <v>71</v>
      </c>
      <c r="S160" s="12" t="s">
        <v>297</v>
      </c>
      <c r="T160" s="12" t="s">
        <v>159</v>
      </c>
      <c r="U160" s="12" t="s">
        <v>160</v>
      </c>
      <c r="V160" s="12"/>
      <c r="W160" s="12"/>
      <c r="X160" s="12"/>
      <c r="Y160" s="12"/>
      <c r="Z160" s="12"/>
      <c r="AA160" s="12"/>
      <c r="AB160" s="12"/>
      <c r="AC160" s="12" t="str">
        <f>Table1[[#This Row],[City or Community (Contra Costa)]]</f>
        <v>Martinez</v>
      </c>
      <c r="AD160" s="12">
        <f>COUNTIF(D:D,Table1[[#This Row],[City or Community (Contra Costa)]])</f>
        <v>26</v>
      </c>
      <c r="AE160" s="12" t="str">
        <f>Table1[[#This Row],[Please select your county]]</f>
        <v>Contra Costa County</v>
      </c>
      <c r="AF160" s="41">
        <f>COUNTIF(AE:AE,Table1[[#This Row],[County]])</f>
        <v>131</v>
      </c>
      <c r="AG160" s="12">
        <v>2025</v>
      </c>
    </row>
    <row r="161" spans="1:33" ht="15.5" x14ac:dyDescent="0.35">
      <c r="A161" s="12">
        <v>533</v>
      </c>
      <c r="B161" s="12" t="s">
        <v>146</v>
      </c>
      <c r="C161" s="12"/>
      <c r="D161" s="12" t="s">
        <v>330</v>
      </c>
      <c r="E161" s="12"/>
      <c r="F161" s="12"/>
      <c r="G161" s="12"/>
      <c r="H161" s="12"/>
      <c r="I161" s="12"/>
      <c r="J161" s="12"/>
      <c r="K161" s="12" t="s">
        <v>274</v>
      </c>
      <c r="L161" s="12" t="s">
        <v>279</v>
      </c>
      <c r="M161" s="12" t="s">
        <v>269</v>
      </c>
      <c r="N161" s="12" t="s">
        <v>270</v>
      </c>
      <c r="O161" s="12" t="s">
        <v>38</v>
      </c>
      <c r="P161" s="12">
        <v>750</v>
      </c>
      <c r="Q161" s="12" t="s">
        <v>281</v>
      </c>
      <c r="R161" s="12" t="s">
        <v>79</v>
      </c>
      <c r="S161" s="12" t="s">
        <v>276</v>
      </c>
      <c r="T161" s="12" t="s">
        <v>83</v>
      </c>
      <c r="U161" s="12" t="s">
        <v>159</v>
      </c>
      <c r="V161" s="12" t="s">
        <v>163</v>
      </c>
      <c r="W161" s="12" t="s">
        <v>299</v>
      </c>
      <c r="X161" s="12"/>
      <c r="Y161" s="12" t="s">
        <v>334</v>
      </c>
      <c r="Z161" s="12" t="s">
        <v>335</v>
      </c>
      <c r="AA161" s="12" t="s">
        <v>300</v>
      </c>
      <c r="AB161" s="12" t="s">
        <v>190</v>
      </c>
      <c r="AC161" s="12" t="str">
        <f>Table1[[#This Row],[City or Community (Contra Costa)]]</f>
        <v>Martinez</v>
      </c>
      <c r="AD161" s="12">
        <f>COUNTIF(D:D,Table1[[#This Row],[City or Community (Contra Costa)]])</f>
        <v>26</v>
      </c>
      <c r="AE161" s="12" t="str">
        <f>Table1[[#This Row],[Please select your county]]</f>
        <v>Contra Costa County</v>
      </c>
      <c r="AF161" s="41">
        <f>COUNTIF(AE:AE,Table1[[#This Row],[County]])</f>
        <v>131</v>
      </c>
      <c r="AG161" s="12">
        <v>2025</v>
      </c>
    </row>
    <row r="162" spans="1:33" ht="31" x14ac:dyDescent="0.35">
      <c r="A162" s="12">
        <v>406</v>
      </c>
      <c r="B162" s="12" t="s">
        <v>146</v>
      </c>
      <c r="C162" s="12"/>
      <c r="D162" s="12" t="s">
        <v>330</v>
      </c>
      <c r="E162" s="12"/>
      <c r="F162" s="12"/>
      <c r="G162" s="12"/>
      <c r="H162" s="12"/>
      <c r="I162" s="12"/>
      <c r="J162" s="12"/>
      <c r="K162" s="10" t="s">
        <v>336</v>
      </c>
      <c r="L162" s="10" t="s">
        <v>279</v>
      </c>
      <c r="M162" s="10" t="s">
        <v>269</v>
      </c>
      <c r="N162" s="10" t="s">
        <v>288</v>
      </c>
      <c r="O162" s="12" t="s">
        <v>38</v>
      </c>
      <c r="P162" s="12">
        <v>750</v>
      </c>
      <c r="Q162" s="12" t="s">
        <v>295</v>
      </c>
      <c r="R162" s="12" t="s">
        <v>165</v>
      </c>
      <c r="S162" s="12" t="s">
        <v>276</v>
      </c>
      <c r="T162" s="12" t="s">
        <v>83</v>
      </c>
      <c r="U162" s="12" t="s">
        <v>160</v>
      </c>
      <c r="V162" s="12"/>
      <c r="W162" s="12"/>
      <c r="X162" s="12"/>
      <c r="Y162" s="12"/>
      <c r="Z162" s="12"/>
      <c r="AA162" s="12"/>
      <c r="AB162" s="12"/>
      <c r="AC162" s="12" t="str">
        <f>Table1[[#This Row],[City or Community (Contra Costa)]]</f>
        <v>Martinez</v>
      </c>
      <c r="AD162" s="12">
        <f>COUNTIF(D:D,Table1[[#This Row],[City or Community (Contra Costa)]])</f>
        <v>26</v>
      </c>
      <c r="AE162" s="12" t="str">
        <f>Table1[[#This Row],[Please select your county]]</f>
        <v>Contra Costa County</v>
      </c>
      <c r="AF162" s="41">
        <f>COUNTIF(AE:AE,Table1[[#This Row],[County]])</f>
        <v>131</v>
      </c>
      <c r="AG162" s="12">
        <v>2025</v>
      </c>
    </row>
    <row r="163" spans="1:33" ht="15.5" x14ac:dyDescent="0.35">
      <c r="A163" s="12">
        <v>338</v>
      </c>
      <c r="B163" s="12" t="s">
        <v>146</v>
      </c>
      <c r="C163" s="12"/>
      <c r="D163" s="12" t="s">
        <v>330</v>
      </c>
      <c r="E163" s="12"/>
      <c r="F163" s="12"/>
      <c r="G163" s="12"/>
      <c r="H163" s="12"/>
      <c r="I163" s="12"/>
      <c r="J163" s="12"/>
      <c r="K163" s="10" t="s">
        <v>294</v>
      </c>
      <c r="L163" s="10"/>
      <c r="M163" s="10"/>
      <c r="N163" s="10"/>
      <c r="O163" s="12" t="s">
        <v>38</v>
      </c>
      <c r="P163" s="12">
        <v>800</v>
      </c>
      <c r="Q163" s="12" t="s">
        <v>295</v>
      </c>
      <c r="R163" s="12" t="s">
        <v>72</v>
      </c>
      <c r="S163" s="12" t="s">
        <v>284</v>
      </c>
      <c r="T163" s="12" t="s">
        <v>159</v>
      </c>
      <c r="U163" s="12" t="s">
        <v>159</v>
      </c>
      <c r="V163" s="12" t="s">
        <v>162</v>
      </c>
      <c r="W163" s="12" t="s">
        <v>289</v>
      </c>
      <c r="X163" s="12"/>
      <c r="Y163" s="12" t="s">
        <v>290</v>
      </c>
      <c r="Z163" s="12"/>
      <c r="AA163" s="12" t="s">
        <v>295</v>
      </c>
      <c r="AB163" s="12" t="s">
        <v>189</v>
      </c>
      <c r="AC163" s="12" t="str">
        <f>Table1[[#This Row],[City or Community (Contra Costa)]]</f>
        <v>Martinez</v>
      </c>
      <c r="AD163" s="12">
        <f>COUNTIF(D:D,Table1[[#This Row],[City or Community (Contra Costa)]])</f>
        <v>26</v>
      </c>
      <c r="AE163" s="12" t="str">
        <f>Table1[[#This Row],[Please select your county]]</f>
        <v>Contra Costa County</v>
      </c>
      <c r="AF163" s="41">
        <f>COUNTIF(AE:AE,Table1[[#This Row],[County]])</f>
        <v>131</v>
      </c>
      <c r="AG163" s="12">
        <v>2025</v>
      </c>
    </row>
    <row r="164" spans="1:33" ht="31" x14ac:dyDescent="0.35">
      <c r="A164" s="12">
        <v>407</v>
      </c>
      <c r="B164" s="12" t="s">
        <v>146</v>
      </c>
      <c r="C164" s="12"/>
      <c r="D164" s="12" t="s">
        <v>330</v>
      </c>
      <c r="E164" s="12"/>
      <c r="F164" s="12"/>
      <c r="G164" s="12"/>
      <c r="H164" s="12"/>
      <c r="I164" s="12"/>
      <c r="J164" s="12"/>
      <c r="K164" s="10" t="s">
        <v>331</v>
      </c>
      <c r="L164" s="10" t="s">
        <v>279</v>
      </c>
      <c r="M164" s="10" t="s">
        <v>269</v>
      </c>
      <c r="N164" s="10" t="s">
        <v>280</v>
      </c>
      <c r="O164" s="12" t="s">
        <v>38</v>
      </c>
      <c r="P164" s="12">
        <v>900</v>
      </c>
      <c r="Q164" s="12" t="s">
        <v>271</v>
      </c>
      <c r="R164" s="12" t="s">
        <v>165</v>
      </c>
      <c r="S164" s="12" t="s">
        <v>276</v>
      </c>
      <c r="T164" s="12" t="s">
        <v>83</v>
      </c>
      <c r="U164" s="12" t="s">
        <v>160</v>
      </c>
      <c r="V164" s="12"/>
      <c r="W164" s="12"/>
      <c r="X164" s="12"/>
      <c r="Y164" s="12"/>
      <c r="Z164" s="12"/>
      <c r="AA164" s="12"/>
      <c r="AB164" s="12"/>
      <c r="AC164" s="12" t="str">
        <f>Table1[[#This Row],[City or Community (Contra Costa)]]</f>
        <v>Martinez</v>
      </c>
      <c r="AD164" s="12">
        <f>COUNTIF(D:D,Table1[[#This Row],[City or Community (Contra Costa)]])</f>
        <v>26</v>
      </c>
      <c r="AE164" s="12" t="str">
        <f>Table1[[#This Row],[Please select your county]]</f>
        <v>Contra Costa County</v>
      </c>
      <c r="AF164" s="41">
        <f>COUNTIF(AE:AE,Table1[[#This Row],[County]])</f>
        <v>131</v>
      </c>
      <c r="AG164" s="12">
        <v>2025</v>
      </c>
    </row>
    <row r="165" spans="1:33" ht="15.5" x14ac:dyDescent="0.35">
      <c r="A165" s="12">
        <v>308</v>
      </c>
      <c r="B165" s="12" t="s">
        <v>146</v>
      </c>
      <c r="C165" s="12"/>
      <c r="D165" s="12" t="s">
        <v>330</v>
      </c>
      <c r="E165" s="12"/>
      <c r="F165" s="12"/>
      <c r="G165" s="12"/>
      <c r="H165" s="12"/>
      <c r="I165" s="12"/>
      <c r="J165" s="12"/>
      <c r="K165" s="10" t="s">
        <v>267</v>
      </c>
      <c r="L165" s="10"/>
      <c r="M165" s="10"/>
      <c r="N165" s="10"/>
      <c r="O165" s="12" t="s">
        <v>38</v>
      </c>
      <c r="P165" s="12">
        <v>940</v>
      </c>
      <c r="Q165" s="12" t="s">
        <v>281</v>
      </c>
      <c r="R165" s="12" t="s">
        <v>69</v>
      </c>
      <c r="S165" s="12" t="s">
        <v>276</v>
      </c>
      <c r="T165" s="12" t="s">
        <v>159</v>
      </c>
      <c r="U165" s="12" t="s">
        <v>160</v>
      </c>
      <c r="V165" s="12"/>
      <c r="W165" s="12"/>
      <c r="X165" s="12"/>
      <c r="Y165" s="12"/>
      <c r="Z165" s="12"/>
      <c r="AA165" s="12"/>
      <c r="AB165" s="12"/>
      <c r="AC165" s="12" t="str">
        <f>Table1[[#This Row],[City or Community (Contra Costa)]]</f>
        <v>Martinez</v>
      </c>
      <c r="AD165" s="12">
        <f>COUNTIF(D:D,Table1[[#This Row],[City or Community (Contra Costa)]])</f>
        <v>26</v>
      </c>
      <c r="AE165" s="12" t="str">
        <f>Table1[[#This Row],[Please select your county]]</f>
        <v>Contra Costa County</v>
      </c>
      <c r="AF165" s="41">
        <f>COUNTIF(AE:AE,Table1[[#This Row],[County]])</f>
        <v>131</v>
      </c>
      <c r="AG165" s="12">
        <v>2025</v>
      </c>
    </row>
    <row r="166" spans="1:33" ht="31" x14ac:dyDescent="0.35">
      <c r="A166" s="12">
        <v>429</v>
      </c>
      <c r="B166" s="12" t="s">
        <v>146</v>
      </c>
      <c r="C166" s="12"/>
      <c r="D166" s="12" t="s">
        <v>330</v>
      </c>
      <c r="E166" s="12"/>
      <c r="F166" s="12"/>
      <c r="G166" s="12"/>
      <c r="H166" s="12"/>
      <c r="I166" s="12"/>
      <c r="J166" s="12"/>
      <c r="K166" s="10" t="s">
        <v>274</v>
      </c>
      <c r="L166" s="10" t="s">
        <v>279</v>
      </c>
      <c r="M166" s="10" t="s">
        <v>269</v>
      </c>
      <c r="N166" s="10" t="s">
        <v>278</v>
      </c>
      <c r="O166" s="12" t="s">
        <v>38</v>
      </c>
      <c r="P166" s="12">
        <v>1100</v>
      </c>
      <c r="Q166" s="12" t="s">
        <v>295</v>
      </c>
      <c r="R166" s="12" t="s">
        <v>165</v>
      </c>
      <c r="S166" s="12" t="s">
        <v>276</v>
      </c>
      <c r="T166" s="12" t="s">
        <v>83</v>
      </c>
      <c r="U166" s="12" t="s">
        <v>160</v>
      </c>
      <c r="V166" s="12"/>
      <c r="W166" s="12"/>
      <c r="X166" s="12"/>
      <c r="Y166" s="12"/>
      <c r="Z166" s="12"/>
      <c r="AA166" s="12"/>
      <c r="AB166" s="12"/>
      <c r="AC166" s="12" t="str">
        <f>Table1[[#This Row],[City or Community (Contra Costa)]]</f>
        <v>Martinez</v>
      </c>
      <c r="AD166" s="12">
        <f>COUNTIF(D:D,Table1[[#This Row],[City or Community (Contra Costa)]])</f>
        <v>26</v>
      </c>
      <c r="AE166" s="12" t="str">
        <f>Table1[[#This Row],[Please select your county]]</f>
        <v>Contra Costa County</v>
      </c>
      <c r="AF166" s="41">
        <f>COUNTIF(AE:AE,Table1[[#This Row],[County]])</f>
        <v>131</v>
      </c>
      <c r="AG166" s="12">
        <v>2025</v>
      </c>
    </row>
    <row r="167" spans="1:33" ht="31" x14ac:dyDescent="0.35">
      <c r="A167" s="12">
        <v>513</v>
      </c>
      <c r="B167" s="12" t="s">
        <v>146</v>
      </c>
      <c r="C167" s="12"/>
      <c r="D167" s="12" t="s">
        <v>330</v>
      </c>
      <c r="E167" s="12"/>
      <c r="F167" s="12"/>
      <c r="G167" s="12"/>
      <c r="H167" s="12"/>
      <c r="I167" s="12"/>
      <c r="J167" s="12"/>
      <c r="K167" s="10" t="s">
        <v>274</v>
      </c>
      <c r="L167" s="10" t="s">
        <v>279</v>
      </c>
      <c r="M167" s="10" t="s">
        <v>269</v>
      </c>
      <c r="N167" s="10" t="s">
        <v>280</v>
      </c>
      <c r="O167" s="12" t="s">
        <v>38</v>
      </c>
      <c r="P167" s="12">
        <v>1200</v>
      </c>
      <c r="Q167" s="12" t="s">
        <v>295</v>
      </c>
      <c r="R167" s="12" t="s">
        <v>165</v>
      </c>
      <c r="S167" s="12" t="s">
        <v>276</v>
      </c>
      <c r="T167" s="12" t="s">
        <v>159</v>
      </c>
      <c r="U167" s="12" t="s">
        <v>160</v>
      </c>
      <c r="V167" s="12"/>
      <c r="W167" s="12"/>
      <c r="X167" s="12"/>
      <c r="Y167" s="12"/>
      <c r="Z167" s="12"/>
      <c r="AA167" s="12"/>
      <c r="AB167" s="12"/>
      <c r="AC167" s="12" t="str">
        <f>Table1[[#This Row],[City or Community (Contra Costa)]]</f>
        <v>Martinez</v>
      </c>
      <c r="AD167" s="12">
        <f>COUNTIF(D:D,Table1[[#This Row],[City or Community (Contra Costa)]])</f>
        <v>26</v>
      </c>
      <c r="AE167" s="12" t="str">
        <f>Table1[[#This Row],[Please select your county]]</f>
        <v>Contra Costa County</v>
      </c>
      <c r="AF167" s="41">
        <f>COUNTIF(AE:AE,Table1[[#This Row],[County]])</f>
        <v>131</v>
      </c>
      <c r="AG167" s="12">
        <v>2025</v>
      </c>
    </row>
    <row r="168" spans="1:33" ht="15.5" x14ac:dyDescent="0.35">
      <c r="A168" s="12">
        <v>116</v>
      </c>
      <c r="B168" s="12" t="s">
        <v>146</v>
      </c>
      <c r="C168" s="12"/>
      <c r="D168" s="12" t="s">
        <v>337</v>
      </c>
      <c r="E168" s="12"/>
      <c r="F168" s="12"/>
      <c r="G168" s="12"/>
      <c r="H168" s="12"/>
      <c r="I168" s="12"/>
      <c r="J168" s="12"/>
      <c r="K168" s="10" t="s">
        <v>274</v>
      </c>
      <c r="L168" s="10"/>
      <c r="M168" s="10"/>
      <c r="N168" s="10"/>
      <c r="O168" s="12" t="s">
        <v>38</v>
      </c>
      <c r="P168" s="12">
        <v>480</v>
      </c>
      <c r="Q168" s="12" t="s">
        <v>281</v>
      </c>
      <c r="R168" s="12" t="s">
        <v>79</v>
      </c>
      <c r="S168" s="12" t="s">
        <v>292</v>
      </c>
      <c r="T168" s="12" t="s">
        <v>159</v>
      </c>
      <c r="U168" s="12" t="s">
        <v>160</v>
      </c>
      <c r="V168" s="12"/>
      <c r="W168" s="12"/>
      <c r="X168" s="12"/>
      <c r="Y168" s="12"/>
      <c r="Z168" s="12"/>
      <c r="AA168" s="12"/>
      <c r="AB168" s="12"/>
      <c r="AC168" s="12" t="str">
        <f>Table1[[#This Row],[City or Community (Contra Costa)]]</f>
        <v>Moraga</v>
      </c>
      <c r="AD168" s="12">
        <f>COUNTIF(D:D,Table1[[#This Row],[City or Community (Contra Costa)]])</f>
        <v>10</v>
      </c>
      <c r="AE168" s="12" t="str">
        <f>Table1[[#This Row],[Please select your county]]</f>
        <v>Contra Costa County</v>
      </c>
      <c r="AF168" s="41">
        <f>COUNTIF(AE:AE,Table1[[#This Row],[County]])</f>
        <v>131</v>
      </c>
      <c r="AG168" s="12">
        <v>2025</v>
      </c>
    </row>
    <row r="169" spans="1:33" ht="15.5" x14ac:dyDescent="0.35">
      <c r="A169" s="12">
        <v>556</v>
      </c>
      <c r="B169" s="12" t="s">
        <v>146</v>
      </c>
      <c r="C169" s="12"/>
      <c r="D169" s="12" t="s">
        <v>337</v>
      </c>
      <c r="E169" s="12"/>
      <c r="F169" s="12"/>
      <c r="G169" s="12"/>
      <c r="H169" s="12"/>
      <c r="I169" s="12"/>
      <c r="J169" s="12"/>
      <c r="K169" s="10" t="s">
        <v>273</v>
      </c>
      <c r="L169" s="10" t="s">
        <v>268</v>
      </c>
      <c r="M169" s="10" t="s">
        <v>269</v>
      </c>
      <c r="N169" s="10" t="s">
        <v>270</v>
      </c>
      <c r="O169" s="12" t="s">
        <v>39</v>
      </c>
      <c r="P169" s="12">
        <v>600</v>
      </c>
      <c r="Q169" s="12" t="s">
        <v>271</v>
      </c>
      <c r="R169" s="12" t="s">
        <v>76</v>
      </c>
      <c r="S169" s="12" t="s">
        <v>272</v>
      </c>
      <c r="T169" s="12" t="s">
        <v>159</v>
      </c>
      <c r="U169" s="12" t="s">
        <v>160</v>
      </c>
      <c r="V169" s="12"/>
      <c r="W169" s="12"/>
      <c r="X169" s="12"/>
      <c r="Y169" s="12"/>
      <c r="Z169" s="12"/>
      <c r="AA169" s="12"/>
      <c r="AB169" s="12"/>
      <c r="AC169" s="12" t="str">
        <f>Table1[[#This Row],[City or Community (Contra Costa)]]</f>
        <v>Moraga</v>
      </c>
      <c r="AD169" s="12">
        <f>COUNTIF(D:D,Table1[[#This Row],[City or Community (Contra Costa)]])</f>
        <v>10</v>
      </c>
      <c r="AE169" s="12" t="str">
        <f>Table1[[#This Row],[Please select your county]]</f>
        <v>Contra Costa County</v>
      </c>
      <c r="AF169" s="41">
        <f>COUNTIF(AE:AE,Table1[[#This Row],[County]])</f>
        <v>131</v>
      </c>
      <c r="AG169" s="12">
        <v>2025</v>
      </c>
    </row>
    <row r="170" spans="1:33" ht="31" x14ac:dyDescent="0.35">
      <c r="A170" s="12">
        <v>368</v>
      </c>
      <c r="B170" s="12" t="s">
        <v>146</v>
      </c>
      <c r="C170" s="12"/>
      <c r="D170" s="12" t="s">
        <v>337</v>
      </c>
      <c r="E170" s="12"/>
      <c r="F170" s="12"/>
      <c r="G170" s="12"/>
      <c r="H170" s="12"/>
      <c r="I170" s="12"/>
      <c r="J170" s="12"/>
      <c r="K170" s="10" t="s">
        <v>274</v>
      </c>
      <c r="L170" s="10" t="s">
        <v>279</v>
      </c>
      <c r="M170" s="10" t="s">
        <v>269</v>
      </c>
      <c r="N170" s="10" t="s">
        <v>280</v>
      </c>
      <c r="O170" s="12" t="s">
        <v>38</v>
      </c>
      <c r="P170" s="12">
        <v>605</v>
      </c>
      <c r="Q170" s="12" t="s">
        <v>281</v>
      </c>
      <c r="R170" s="12" t="s">
        <v>79</v>
      </c>
      <c r="S170" s="12" t="s">
        <v>272</v>
      </c>
      <c r="T170" s="12" t="s">
        <v>159</v>
      </c>
      <c r="U170" s="12" t="s">
        <v>160</v>
      </c>
      <c r="V170" s="12"/>
      <c r="W170" s="12"/>
      <c r="X170" s="12"/>
      <c r="Y170" s="12"/>
      <c r="Z170" s="12"/>
      <c r="AA170" s="12"/>
      <c r="AB170" s="12"/>
      <c r="AC170" s="12" t="str">
        <f>Table1[[#This Row],[City or Community (Contra Costa)]]</f>
        <v>Moraga</v>
      </c>
      <c r="AD170" s="12">
        <f>COUNTIF(D:D,Table1[[#This Row],[City or Community (Contra Costa)]])</f>
        <v>10</v>
      </c>
      <c r="AE170" s="12" t="str">
        <f>Table1[[#This Row],[Please select your county]]</f>
        <v>Contra Costa County</v>
      </c>
      <c r="AF170" s="41">
        <f>COUNTIF(AE:AE,Table1[[#This Row],[County]])</f>
        <v>131</v>
      </c>
      <c r="AG170" s="12">
        <v>2025</v>
      </c>
    </row>
    <row r="171" spans="1:33" ht="46.5" x14ac:dyDescent="0.35">
      <c r="A171" s="12">
        <v>467</v>
      </c>
      <c r="B171" s="12" t="s">
        <v>146</v>
      </c>
      <c r="C171" s="12"/>
      <c r="D171" s="12" t="s">
        <v>337</v>
      </c>
      <c r="E171" s="12"/>
      <c r="F171" s="12"/>
      <c r="G171" s="12"/>
      <c r="H171" s="12"/>
      <c r="I171" s="12"/>
      <c r="J171" s="12"/>
      <c r="K171" s="10" t="s">
        <v>274</v>
      </c>
      <c r="L171" s="10" t="s">
        <v>279</v>
      </c>
      <c r="M171" s="10" t="s">
        <v>338</v>
      </c>
      <c r="N171" s="10" t="s">
        <v>280</v>
      </c>
      <c r="O171" s="12" t="s">
        <v>38</v>
      </c>
      <c r="P171" s="12">
        <v>682</v>
      </c>
      <c r="Q171" s="12" t="s">
        <v>281</v>
      </c>
      <c r="R171" s="12" t="s">
        <v>165</v>
      </c>
      <c r="S171" s="12" t="s">
        <v>276</v>
      </c>
      <c r="T171" s="12" t="s">
        <v>159</v>
      </c>
      <c r="U171" s="12" t="s">
        <v>159</v>
      </c>
      <c r="V171" s="12" t="s">
        <v>162</v>
      </c>
      <c r="W171" s="12" t="s">
        <v>289</v>
      </c>
      <c r="X171" s="12"/>
      <c r="Y171" s="12" t="s">
        <v>290</v>
      </c>
      <c r="Z171" s="12"/>
      <c r="AA171" s="12" t="s">
        <v>300</v>
      </c>
      <c r="AB171" s="12" t="s">
        <v>190</v>
      </c>
      <c r="AC171" s="12" t="str">
        <f>Table1[[#This Row],[City or Community (Contra Costa)]]</f>
        <v>Moraga</v>
      </c>
      <c r="AD171" s="12">
        <f>COUNTIF(D:D,Table1[[#This Row],[City or Community (Contra Costa)]])</f>
        <v>10</v>
      </c>
      <c r="AE171" s="12" t="str">
        <f>Table1[[#This Row],[Please select your county]]</f>
        <v>Contra Costa County</v>
      </c>
      <c r="AF171" s="41">
        <f>COUNTIF(AE:AE,Table1[[#This Row],[County]])</f>
        <v>131</v>
      </c>
      <c r="AG171" s="12">
        <v>2025</v>
      </c>
    </row>
    <row r="172" spans="1:33" ht="15.5" x14ac:dyDescent="0.35">
      <c r="A172" s="12">
        <v>126</v>
      </c>
      <c r="B172" s="12" t="s">
        <v>146</v>
      </c>
      <c r="C172" s="12"/>
      <c r="D172" s="12" t="s">
        <v>337</v>
      </c>
      <c r="E172" s="12"/>
      <c r="F172" s="12"/>
      <c r="G172" s="12"/>
      <c r="H172" s="12"/>
      <c r="I172" s="12"/>
      <c r="J172" s="12"/>
      <c r="K172" s="10" t="s">
        <v>274</v>
      </c>
      <c r="L172" s="10"/>
      <c r="M172" s="10"/>
      <c r="N172" s="10"/>
      <c r="O172" s="12" t="s">
        <v>38</v>
      </c>
      <c r="P172" s="12">
        <v>750</v>
      </c>
      <c r="Q172" s="12" t="s">
        <v>271</v>
      </c>
      <c r="R172" s="12" t="s">
        <v>79</v>
      </c>
      <c r="S172" s="12" t="s">
        <v>292</v>
      </c>
      <c r="T172" s="12" t="s">
        <v>159</v>
      </c>
      <c r="U172" s="12" t="s">
        <v>160</v>
      </c>
      <c r="V172" s="12"/>
      <c r="W172" s="12"/>
      <c r="X172" s="12"/>
      <c r="Y172" s="12"/>
      <c r="Z172" s="12"/>
      <c r="AA172" s="12"/>
      <c r="AB172" s="12"/>
      <c r="AC172" s="12" t="str">
        <f>Table1[[#This Row],[City or Community (Contra Costa)]]</f>
        <v>Moraga</v>
      </c>
      <c r="AD172" s="12">
        <f>COUNTIF(D:D,Table1[[#This Row],[City or Community (Contra Costa)]])</f>
        <v>10</v>
      </c>
      <c r="AE172" s="12" t="str">
        <f>Table1[[#This Row],[Please select your county]]</f>
        <v>Contra Costa County</v>
      </c>
      <c r="AF172" s="41">
        <f>COUNTIF(AE:AE,Table1[[#This Row],[County]])</f>
        <v>131</v>
      </c>
      <c r="AG172" s="12">
        <v>2025</v>
      </c>
    </row>
    <row r="173" spans="1:33" ht="15.5" x14ac:dyDescent="0.35">
      <c r="A173" s="12">
        <v>177</v>
      </c>
      <c r="B173" s="12" t="s">
        <v>146</v>
      </c>
      <c r="C173" s="12"/>
      <c r="D173" s="12" t="s">
        <v>337</v>
      </c>
      <c r="E173" s="12"/>
      <c r="F173" s="12"/>
      <c r="G173" s="12"/>
      <c r="H173" s="12"/>
      <c r="I173" s="12"/>
      <c r="J173" s="12"/>
      <c r="K173" s="10" t="s">
        <v>274</v>
      </c>
      <c r="L173" s="10"/>
      <c r="M173" s="10"/>
      <c r="N173" s="10"/>
      <c r="O173" s="12" t="s">
        <v>38</v>
      </c>
      <c r="P173" s="12">
        <v>750</v>
      </c>
      <c r="Q173" s="12" t="s">
        <v>295</v>
      </c>
      <c r="R173" s="12" t="s">
        <v>71</v>
      </c>
      <c r="S173" s="12" t="s">
        <v>284</v>
      </c>
      <c r="T173" s="12" t="s">
        <v>83</v>
      </c>
      <c r="U173" s="12" t="s">
        <v>160</v>
      </c>
      <c r="V173" s="12"/>
      <c r="W173" s="12"/>
      <c r="X173" s="12"/>
      <c r="Y173" s="12"/>
      <c r="Z173" s="12"/>
      <c r="AA173" s="12"/>
      <c r="AB173" s="12"/>
      <c r="AC173" s="12" t="str">
        <f>Table1[[#This Row],[City or Community (Contra Costa)]]</f>
        <v>Moraga</v>
      </c>
      <c r="AD173" s="12">
        <f>COUNTIF(D:D,Table1[[#This Row],[City or Community (Contra Costa)]])</f>
        <v>10</v>
      </c>
      <c r="AE173" s="12" t="str">
        <f>Table1[[#This Row],[Please select your county]]</f>
        <v>Contra Costa County</v>
      </c>
      <c r="AF173" s="41">
        <f>COUNTIF(AE:AE,Table1[[#This Row],[County]])</f>
        <v>131</v>
      </c>
      <c r="AG173" s="12">
        <v>2025</v>
      </c>
    </row>
    <row r="174" spans="1:33" ht="15.5" x14ac:dyDescent="0.35">
      <c r="A174" s="12">
        <v>120</v>
      </c>
      <c r="B174" s="12" t="s">
        <v>146</v>
      </c>
      <c r="C174" s="12"/>
      <c r="D174" s="12" t="s">
        <v>337</v>
      </c>
      <c r="E174" s="12"/>
      <c r="F174" s="12"/>
      <c r="G174" s="12"/>
      <c r="H174" s="12"/>
      <c r="I174" s="12"/>
      <c r="J174" s="12"/>
      <c r="K174" s="10" t="s">
        <v>267</v>
      </c>
      <c r="L174" s="10"/>
      <c r="M174" s="10"/>
      <c r="N174" s="10"/>
      <c r="O174" s="12" t="s">
        <v>38</v>
      </c>
      <c r="P174" s="12">
        <v>750</v>
      </c>
      <c r="Q174" s="12" t="s">
        <v>295</v>
      </c>
      <c r="R174" s="12" t="s">
        <v>69</v>
      </c>
      <c r="S174" s="12" t="s">
        <v>284</v>
      </c>
      <c r="T174" s="12" t="s">
        <v>159</v>
      </c>
      <c r="U174" s="12" t="s">
        <v>160</v>
      </c>
      <c r="V174" s="12"/>
      <c r="W174" s="12"/>
      <c r="X174" s="12"/>
      <c r="Y174" s="12"/>
      <c r="Z174" s="12"/>
      <c r="AA174" s="12"/>
      <c r="AB174" s="12"/>
      <c r="AC174" s="12" t="str">
        <f>Table1[[#This Row],[City or Community (Contra Costa)]]</f>
        <v>Moraga</v>
      </c>
      <c r="AD174" s="12">
        <f>COUNTIF(D:D,Table1[[#This Row],[City or Community (Contra Costa)]])</f>
        <v>10</v>
      </c>
      <c r="AE174" s="12" t="str">
        <f>Table1[[#This Row],[Please select your county]]</f>
        <v>Contra Costa County</v>
      </c>
      <c r="AF174" s="41">
        <f>COUNTIF(AE:AE,Table1[[#This Row],[County]])</f>
        <v>131</v>
      </c>
      <c r="AG174" s="12">
        <v>2025</v>
      </c>
    </row>
    <row r="175" spans="1:33" ht="15.5" x14ac:dyDescent="0.35">
      <c r="A175" s="12">
        <v>118</v>
      </c>
      <c r="B175" s="12" t="s">
        <v>146</v>
      </c>
      <c r="C175" s="12"/>
      <c r="D175" s="12" t="s">
        <v>337</v>
      </c>
      <c r="E175" s="12"/>
      <c r="F175" s="12"/>
      <c r="G175" s="12"/>
      <c r="H175" s="12"/>
      <c r="I175" s="12"/>
      <c r="J175" s="12"/>
      <c r="K175" s="10" t="s">
        <v>294</v>
      </c>
      <c r="L175" s="10"/>
      <c r="M175" s="10"/>
      <c r="N175" s="10"/>
      <c r="O175" s="12" t="s">
        <v>38</v>
      </c>
      <c r="P175" s="12">
        <v>797</v>
      </c>
      <c r="Q175" s="12" t="s">
        <v>281</v>
      </c>
      <c r="R175" s="12" t="s">
        <v>79</v>
      </c>
      <c r="S175" s="12" t="s">
        <v>292</v>
      </c>
      <c r="T175" s="12" t="s">
        <v>83</v>
      </c>
      <c r="U175" s="12" t="s">
        <v>160</v>
      </c>
      <c r="V175" s="12"/>
      <c r="W175" s="12"/>
      <c r="X175" s="12"/>
      <c r="Y175" s="12"/>
      <c r="Z175" s="12"/>
      <c r="AA175" s="12"/>
      <c r="AB175" s="12"/>
      <c r="AC175" s="12" t="str">
        <f>Table1[[#This Row],[City or Community (Contra Costa)]]</f>
        <v>Moraga</v>
      </c>
      <c r="AD175" s="12">
        <f>COUNTIF(D:D,Table1[[#This Row],[City or Community (Contra Costa)]])</f>
        <v>10</v>
      </c>
      <c r="AE175" s="12" t="str">
        <f>Table1[[#This Row],[Please select your county]]</f>
        <v>Contra Costa County</v>
      </c>
      <c r="AF175" s="41">
        <f>COUNTIF(AE:AE,Table1[[#This Row],[County]])</f>
        <v>131</v>
      </c>
      <c r="AG175" s="12">
        <v>2025</v>
      </c>
    </row>
    <row r="176" spans="1:33" ht="15.5" x14ac:dyDescent="0.35">
      <c r="A176" s="12">
        <v>138</v>
      </c>
      <c r="B176" s="12" t="s">
        <v>146</v>
      </c>
      <c r="C176" s="12"/>
      <c r="D176" s="12" t="s">
        <v>337</v>
      </c>
      <c r="E176" s="12"/>
      <c r="F176" s="12"/>
      <c r="G176" s="12"/>
      <c r="H176" s="12"/>
      <c r="I176" s="12"/>
      <c r="J176" s="12"/>
      <c r="K176" s="12" t="s">
        <v>267</v>
      </c>
      <c r="L176" s="12"/>
      <c r="M176" s="12"/>
      <c r="N176" s="12"/>
      <c r="O176" s="12" t="s">
        <v>38</v>
      </c>
      <c r="P176" s="12">
        <v>1000</v>
      </c>
      <c r="Q176" s="12" t="s">
        <v>295</v>
      </c>
      <c r="R176" s="12" t="s">
        <v>74</v>
      </c>
      <c r="S176" s="12" t="s">
        <v>272</v>
      </c>
      <c r="T176" s="12" t="s">
        <v>160</v>
      </c>
      <c r="U176" s="12" t="s">
        <v>159</v>
      </c>
      <c r="V176" s="12" t="s">
        <v>164</v>
      </c>
      <c r="W176" s="12" t="s">
        <v>289</v>
      </c>
      <c r="X176" s="12"/>
      <c r="Y176" s="12" t="s">
        <v>290</v>
      </c>
      <c r="Z176" s="12"/>
      <c r="AA176" s="12" t="s">
        <v>291</v>
      </c>
      <c r="AB176" s="12" t="s">
        <v>187</v>
      </c>
      <c r="AC176" s="12" t="str">
        <f>Table1[[#This Row],[City or Community (Contra Costa)]]</f>
        <v>Moraga</v>
      </c>
      <c r="AD176" s="12">
        <f>COUNTIF(D:D,Table1[[#This Row],[City or Community (Contra Costa)]])</f>
        <v>10</v>
      </c>
      <c r="AE176" s="12" t="str">
        <f>Table1[[#This Row],[Please select your county]]</f>
        <v>Contra Costa County</v>
      </c>
      <c r="AF176" s="41">
        <f>COUNTIF(AE:AE,Table1[[#This Row],[County]])</f>
        <v>131</v>
      </c>
      <c r="AG176" s="12">
        <v>2025</v>
      </c>
    </row>
    <row r="177" spans="1:33" ht="46.5" x14ac:dyDescent="0.35">
      <c r="A177" s="12">
        <v>402</v>
      </c>
      <c r="B177" s="12" t="s">
        <v>146</v>
      </c>
      <c r="C177" s="12"/>
      <c r="D177" s="12" t="s">
        <v>337</v>
      </c>
      <c r="E177" s="12"/>
      <c r="F177" s="12"/>
      <c r="G177" s="12"/>
      <c r="H177" s="12"/>
      <c r="I177" s="12"/>
      <c r="J177" s="12"/>
      <c r="K177" s="10" t="s">
        <v>339</v>
      </c>
      <c r="L177" s="10" t="s">
        <v>279</v>
      </c>
      <c r="M177" s="10" t="s">
        <v>338</v>
      </c>
      <c r="N177" s="10" t="s">
        <v>288</v>
      </c>
      <c r="O177" s="12" t="s">
        <v>38</v>
      </c>
      <c r="P177" s="12">
        <v>1200</v>
      </c>
      <c r="Q177" s="12" t="s">
        <v>295</v>
      </c>
      <c r="R177" s="12" t="s">
        <v>70</v>
      </c>
      <c r="S177" s="12" t="s">
        <v>276</v>
      </c>
      <c r="T177" s="12" t="s">
        <v>159</v>
      </c>
      <c r="U177" s="12" t="s">
        <v>159</v>
      </c>
      <c r="V177" s="12" t="s">
        <v>164</v>
      </c>
      <c r="W177" s="12" t="s">
        <v>340</v>
      </c>
      <c r="X177" s="12"/>
      <c r="Y177" s="12" t="s">
        <v>290</v>
      </c>
      <c r="Z177" s="12" t="s">
        <v>341</v>
      </c>
      <c r="AA177" s="12" t="s">
        <v>165</v>
      </c>
      <c r="AB177" s="12" t="s">
        <v>165</v>
      </c>
      <c r="AC177" s="12" t="str">
        <f>Table1[[#This Row],[City or Community (Contra Costa)]]</f>
        <v>Moraga</v>
      </c>
      <c r="AD177" s="12">
        <f>COUNTIF(D:D,Table1[[#This Row],[City or Community (Contra Costa)]])</f>
        <v>10</v>
      </c>
      <c r="AE177" s="12" t="str">
        <f>Table1[[#This Row],[Please select your county]]</f>
        <v>Contra Costa County</v>
      </c>
      <c r="AF177" s="41">
        <f>COUNTIF(AE:AE,Table1[[#This Row],[County]])</f>
        <v>131</v>
      </c>
      <c r="AG177" s="12">
        <v>2025</v>
      </c>
    </row>
    <row r="178" spans="1:33" ht="15.5" x14ac:dyDescent="0.35">
      <c r="A178" s="12">
        <v>239</v>
      </c>
      <c r="B178" s="12" t="s">
        <v>146</v>
      </c>
      <c r="C178" s="12"/>
      <c r="D178" s="12" t="s">
        <v>342</v>
      </c>
      <c r="E178" s="12"/>
      <c r="F178" s="12"/>
      <c r="G178" s="12"/>
      <c r="H178" s="12"/>
      <c r="I178" s="12"/>
      <c r="J178" s="12"/>
      <c r="K178" s="10" t="s">
        <v>274</v>
      </c>
      <c r="L178" s="10"/>
      <c r="M178" s="10"/>
      <c r="N178" s="10"/>
      <c r="O178" s="12" t="s">
        <v>38</v>
      </c>
      <c r="P178" s="12">
        <v>520</v>
      </c>
      <c r="Q178" s="12" t="s">
        <v>281</v>
      </c>
      <c r="R178" s="12" t="s">
        <v>79</v>
      </c>
      <c r="S178" s="12" t="s">
        <v>272</v>
      </c>
      <c r="T178" s="12" t="s">
        <v>160</v>
      </c>
      <c r="U178" s="12" t="s">
        <v>159</v>
      </c>
      <c r="V178" s="12" t="s">
        <v>162</v>
      </c>
      <c r="W178" s="12" t="s">
        <v>343</v>
      </c>
      <c r="X178" s="12"/>
      <c r="Y178" s="12" t="s">
        <v>334</v>
      </c>
      <c r="Z178" s="12" t="s">
        <v>344</v>
      </c>
      <c r="AA178" s="12" t="s">
        <v>286</v>
      </c>
      <c r="AB178" s="12" t="s">
        <v>190</v>
      </c>
      <c r="AC178" s="12" t="str">
        <f>Table1[[#This Row],[City or Community (Contra Costa)]]</f>
        <v>Walnut Creek</v>
      </c>
      <c r="AD178" s="12">
        <f>COUNTIF(D:D,Table1[[#This Row],[City or Community (Contra Costa)]])</f>
        <v>4</v>
      </c>
      <c r="AE178" s="12" t="str">
        <f>Table1[[#This Row],[Please select your county]]</f>
        <v>Contra Costa County</v>
      </c>
      <c r="AF178" s="41">
        <f>COUNTIF(AE:AE,Table1[[#This Row],[County]])</f>
        <v>131</v>
      </c>
      <c r="AG178" s="12">
        <v>2025</v>
      </c>
    </row>
    <row r="179" spans="1:33" ht="31" x14ac:dyDescent="0.35">
      <c r="A179" s="12">
        <v>404</v>
      </c>
      <c r="B179" s="12" t="s">
        <v>146</v>
      </c>
      <c r="C179" s="12"/>
      <c r="D179" s="12" t="s">
        <v>342</v>
      </c>
      <c r="E179" s="12"/>
      <c r="F179" s="12"/>
      <c r="G179" s="12"/>
      <c r="H179" s="12"/>
      <c r="I179" s="12"/>
      <c r="J179" s="12"/>
      <c r="K179" s="10" t="s">
        <v>273</v>
      </c>
      <c r="L179" s="10" t="s">
        <v>279</v>
      </c>
      <c r="M179" s="10" t="s">
        <v>317</v>
      </c>
      <c r="N179" s="10" t="s">
        <v>270</v>
      </c>
      <c r="O179" s="12" t="s">
        <v>39</v>
      </c>
      <c r="P179" s="12">
        <v>620</v>
      </c>
      <c r="Q179" s="12" t="s">
        <v>271</v>
      </c>
      <c r="R179" s="12" t="s">
        <v>76</v>
      </c>
      <c r="S179" s="12" t="s">
        <v>276</v>
      </c>
      <c r="T179" s="12" t="s">
        <v>83</v>
      </c>
      <c r="U179" s="12" t="s">
        <v>159</v>
      </c>
      <c r="V179" s="12" t="s">
        <v>163</v>
      </c>
      <c r="W179" s="12" t="s">
        <v>289</v>
      </c>
      <c r="X179" s="12"/>
      <c r="Y179" s="12" t="s">
        <v>290</v>
      </c>
      <c r="Z179" s="12"/>
      <c r="AA179" s="12" t="s">
        <v>300</v>
      </c>
      <c r="AB179" s="12" t="s">
        <v>190</v>
      </c>
      <c r="AC179" s="12" t="str">
        <f>Table1[[#This Row],[City or Community (Contra Costa)]]</f>
        <v>Walnut Creek</v>
      </c>
      <c r="AD179" s="12">
        <f>COUNTIF(D:D,Table1[[#This Row],[City or Community (Contra Costa)]])</f>
        <v>4</v>
      </c>
      <c r="AE179" s="12" t="str">
        <f>Table1[[#This Row],[Please select your county]]</f>
        <v>Contra Costa County</v>
      </c>
      <c r="AF179" s="41">
        <f>COUNTIF(AE:AE,Table1[[#This Row],[County]])</f>
        <v>131</v>
      </c>
      <c r="AG179" s="12">
        <v>2025</v>
      </c>
    </row>
    <row r="180" spans="1:33" ht="31" x14ac:dyDescent="0.35">
      <c r="A180" s="12">
        <v>416</v>
      </c>
      <c r="B180" s="12" t="s">
        <v>146</v>
      </c>
      <c r="C180" s="12"/>
      <c r="D180" s="12" t="s">
        <v>342</v>
      </c>
      <c r="E180" s="12"/>
      <c r="F180" s="12"/>
      <c r="G180" s="12"/>
      <c r="H180" s="12"/>
      <c r="I180" s="12"/>
      <c r="J180" s="12"/>
      <c r="K180" s="10" t="s">
        <v>294</v>
      </c>
      <c r="L180" s="10" t="s">
        <v>279</v>
      </c>
      <c r="M180" s="10" t="s">
        <v>269</v>
      </c>
      <c r="N180" s="10" t="s">
        <v>280</v>
      </c>
      <c r="O180" s="12" t="s">
        <v>38</v>
      </c>
      <c r="P180" s="12">
        <v>800</v>
      </c>
      <c r="Q180" s="12" t="s">
        <v>281</v>
      </c>
      <c r="R180" s="12" t="s">
        <v>79</v>
      </c>
      <c r="S180" s="12" t="s">
        <v>284</v>
      </c>
      <c r="T180" s="12" t="s">
        <v>160</v>
      </c>
      <c r="U180" s="12" t="s">
        <v>159</v>
      </c>
      <c r="V180" s="12" t="s">
        <v>162</v>
      </c>
      <c r="W180" s="12" t="s">
        <v>289</v>
      </c>
      <c r="X180" s="12"/>
      <c r="Y180" s="12" t="s">
        <v>290</v>
      </c>
      <c r="Z180" s="12"/>
      <c r="AA180" s="12" t="s">
        <v>286</v>
      </c>
      <c r="AB180" s="12" t="s">
        <v>190</v>
      </c>
      <c r="AC180" s="12" t="str">
        <f>Table1[[#This Row],[City or Community (Contra Costa)]]</f>
        <v>Walnut Creek</v>
      </c>
      <c r="AD180" s="12">
        <f>COUNTIF(D:D,Table1[[#This Row],[City or Community (Contra Costa)]])</f>
        <v>4</v>
      </c>
      <c r="AE180" s="12" t="str">
        <f>Table1[[#This Row],[Please select your county]]</f>
        <v>Contra Costa County</v>
      </c>
      <c r="AF180" s="41">
        <f>COUNTIF(AE:AE,Table1[[#This Row],[County]])</f>
        <v>131</v>
      </c>
      <c r="AG180" s="12">
        <v>2025</v>
      </c>
    </row>
    <row r="181" spans="1:33" ht="31" x14ac:dyDescent="0.35">
      <c r="A181" s="12">
        <v>591</v>
      </c>
      <c r="B181" s="12" t="s">
        <v>146</v>
      </c>
      <c r="C181" s="12"/>
      <c r="D181" s="12" t="s">
        <v>342</v>
      </c>
      <c r="E181" s="12"/>
      <c r="F181" s="12"/>
      <c r="G181" s="12"/>
      <c r="H181" s="12"/>
      <c r="I181" s="12"/>
      <c r="J181" s="12"/>
      <c r="K181" s="10" t="s">
        <v>274</v>
      </c>
      <c r="L181" s="10" t="s">
        <v>277</v>
      </c>
      <c r="M181" s="10" t="s">
        <v>269</v>
      </c>
      <c r="N181" s="10" t="s">
        <v>280</v>
      </c>
      <c r="O181" s="12" t="s">
        <v>38</v>
      </c>
      <c r="P181" s="12">
        <v>1000</v>
      </c>
      <c r="Q181" s="12" t="s">
        <v>295</v>
      </c>
      <c r="R181" s="12" t="s">
        <v>71</v>
      </c>
      <c r="S181" s="12" t="s">
        <v>272</v>
      </c>
      <c r="T181" s="12" t="s">
        <v>83</v>
      </c>
      <c r="U181" s="12" t="s">
        <v>160</v>
      </c>
      <c r="V181" s="12"/>
      <c r="W181" s="12"/>
      <c r="X181" s="12"/>
      <c r="Y181" s="12"/>
      <c r="Z181" s="12"/>
      <c r="AA181" s="12"/>
      <c r="AB181" s="12"/>
      <c r="AC181" s="12" t="str">
        <f>Table1[[#This Row],[City or Community (Contra Costa)]]</f>
        <v>Walnut Creek</v>
      </c>
      <c r="AD181" s="12">
        <f>COUNTIF(D:D,Table1[[#This Row],[City or Community (Contra Costa)]])</f>
        <v>4</v>
      </c>
      <c r="AE181" s="12" t="str">
        <f>Table1[[#This Row],[Please select your county]]</f>
        <v>Contra Costa County</v>
      </c>
      <c r="AF181" s="41">
        <f>COUNTIF(AE:AE,Table1[[#This Row],[County]])</f>
        <v>131</v>
      </c>
      <c r="AG181" s="12">
        <v>2025</v>
      </c>
    </row>
    <row r="182" spans="1:33" ht="15.5" x14ac:dyDescent="0.35">
      <c r="A182" s="12">
        <v>321</v>
      </c>
      <c r="B182" s="12" t="s">
        <v>146</v>
      </c>
      <c r="C182" s="12"/>
      <c r="D182" s="12" t="s">
        <v>345</v>
      </c>
      <c r="E182" s="12"/>
      <c r="F182" s="12"/>
      <c r="G182" s="12"/>
      <c r="H182" s="12"/>
      <c r="I182" s="12"/>
      <c r="J182" s="12"/>
      <c r="K182" s="10" t="s">
        <v>274</v>
      </c>
      <c r="L182" s="10"/>
      <c r="M182" s="10"/>
      <c r="N182" s="10"/>
      <c r="O182" s="12" t="s">
        <v>38</v>
      </c>
      <c r="P182" s="12">
        <v>425</v>
      </c>
      <c r="Q182" s="12" t="s">
        <v>271</v>
      </c>
      <c r="R182" s="12" t="s">
        <v>79</v>
      </c>
      <c r="S182" s="12" t="s">
        <v>272</v>
      </c>
      <c r="T182" s="12" t="s">
        <v>159</v>
      </c>
      <c r="U182" s="12" t="s">
        <v>160</v>
      </c>
      <c r="V182" s="12"/>
      <c r="W182" s="12"/>
      <c r="X182" s="12"/>
      <c r="Y182" s="12"/>
      <c r="Z182" s="12"/>
      <c r="AA182" s="12"/>
      <c r="AB182" s="12"/>
      <c r="AC182" s="12" t="str">
        <f>Table1[[#This Row],[City or Community (Contra Costa)]]</f>
        <v>El Cerrito</v>
      </c>
      <c r="AD182" s="12">
        <f>COUNTIF(D:D,Table1[[#This Row],[City or Community (Contra Costa)]])</f>
        <v>2</v>
      </c>
      <c r="AE182" s="12" t="str">
        <f>Table1[[#This Row],[Please select your county]]</f>
        <v>Contra Costa County</v>
      </c>
      <c r="AF182" s="41">
        <f>COUNTIF(AE:AE,Table1[[#This Row],[County]])</f>
        <v>131</v>
      </c>
      <c r="AG182" s="12">
        <v>2025</v>
      </c>
    </row>
    <row r="183" spans="1:33" ht="15.5" x14ac:dyDescent="0.35">
      <c r="A183" s="12">
        <v>315</v>
      </c>
      <c r="B183" s="12" t="s">
        <v>146</v>
      </c>
      <c r="C183" s="12"/>
      <c r="D183" s="12" t="s">
        <v>345</v>
      </c>
      <c r="E183" s="12"/>
      <c r="F183" s="12"/>
      <c r="G183" s="12"/>
      <c r="H183" s="12"/>
      <c r="I183" s="12"/>
      <c r="J183" s="12"/>
      <c r="K183" s="10" t="s">
        <v>274</v>
      </c>
      <c r="L183" s="10"/>
      <c r="M183" s="10"/>
      <c r="N183" s="10"/>
      <c r="O183" s="12" t="s">
        <v>38</v>
      </c>
      <c r="P183" s="12">
        <v>788</v>
      </c>
      <c r="Q183" s="12" t="s">
        <v>281</v>
      </c>
      <c r="R183" s="12" t="s">
        <v>79</v>
      </c>
      <c r="S183" s="12" t="s">
        <v>272</v>
      </c>
      <c r="T183" s="12" t="s">
        <v>159</v>
      </c>
      <c r="U183" s="12" t="s">
        <v>159</v>
      </c>
      <c r="V183" s="12" t="s">
        <v>162</v>
      </c>
      <c r="W183" s="12" t="s">
        <v>289</v>
      </c>
      <c r="X183" s="12"/>
      <c r="Y183" s="12" t="s">
        <v>290</v>
      </c>
      <c r="Z183" s="12"/>
      <c r="AA183" s="12" t="s">
        <v>291</v>
      </c>
      <c r="AB183" s="12" t="s">
        <v>190</v>
      </c>
      <c r="AC183" s="12" t="str">
        <f>Table1[[#This Row],[City or Community (Contra Costa)]]</f>
        <v>El Cerrito</v>
      </c>
      <c r="AD183" s="12">
        <f>COUNTIF(D:D,Table1[[#This Row],[City or Community (Contra Costa)]])</f>
        <v>2</v>
      </c>
      <c r="AE183" s="12" t="str">
        <f>Table1[[#This Row],[Please select your county]]</f>
        <v>Contra Costa County</v>
      </c>
      <c r="AF183" s="41">
        <f>COUNTIF(AE:AE,Table1[[#This Row],[County]])</f>
        <v>131</v>
      </c>
      <c r="AG183" s="12">
        <v>2025</v>
      </c>
    </row>
    <row r="184" spans="1:33" ht="15.5" x14ac:dyDescent="0.35">
      <c r="A184" s="12">
        <v>97</v>
      </c>
      <c r="B184" s="12" t="s">
        <v>146</v>
      </c>
      <c r="C184" s="12"/>
      <c r="D184" s="12" t="s">
        <v>346</v>
      </c>
      <c r="E184" s="12"/>
      <c r="F184" s="12"/>
      <c r="G184" s="12"/>
      <c r="H184" s="12"/>
      <c r="I184" s="12"/>
      <c r="J184" s="12"/>
      <c r="K184" s="10" t="s">
        <v>274</v>
      </c>
      <c r="L184" s="10"/>
      <c r="M184" s="10"/>
      <c r="N184" s="10"/>
      <c r="O184" s="12" t="s">
        <v>38</v>
      </c>
      <c r="P184" s="12">
        <v>400</v>
      </c>
      <c r="Q184" s="12" t="s">
        <v>281</v>
      </c>
      <c r="R184" s="12" t="s">
        <v>79</v>
      </c>
      <c r="S184" s="12" t="s">
        <v>292</v>
      </c>
      <c r="T184" s="12" t="s">
        <v>160</v>
      </c>
      <c r="U184" s="12" t="s">
        <v>160</v>
      </c>
      <c r="V184" s="12"/>
      <c r="W184" s="12"/>
      <c r="X184" s="12"/>
      <c r="Y184" s="12"/>
      <c r="Z184" s="12"/>
      <c r="AA184" s="12"/>
      <c r="AB184" s="12"/>
      <c r="AC184" s="12" t="str">
        <f>Table1[[#This Row],[City or Community (Contra Costa)]]</f>
        <v>Unincorporated Contra Costa County</v>
      </c>
      <c r="AD184" s="12">
        <f>COUNTIF(D:D,Table1[[#This Row],[City or Community (Contra Costa)]])</f>
        <v>1</v>
      </c>
      <c r="AE184" s="12" t="str">
        <f>Table1[[#This Row],[Please select your county]]</f>
        <v>Contra Costa County</v>
      </c>
      <c r="AF184" s="41">
        <f>COUNTIF(AE:AE,Table1[[#This Row],[County]])</f>
        <v>131</v>
      </c>
      <c r="AG184" s="12">
        <v>2025</v>
      </c>
    </row>
    <row r="185" spans="1:33" ht="15.5" x14ac:dyDescent="0.35">
      <c r="A185" s="12">
        <v>119</v>
      </c>
      <c r="B185" s="12" t="s">
        <v>147</v>
      </c>
      <c r="C185" s="12"/>
      <c r="D185" s="12"/>
      <c r="E185" s="12" t="s">
        <v>347</v>
      </c>
      <c r="F185" s="12"/>
      <c r="G185" s="12"/>
      <c r="H185" s="12"/>
      <c r="I185" s="12"/>
      <c r="J185" s="12"/>
      <c r="K185" s="10" t="s">
        <v>348</v>
      </c>
      <c r="L185" s="10"/>
      <c r="M185" s="10"/>
      <c r="N185" s="10"/>
      <c r="O185" s="12" t="s">
        <v>38</v>
      </c>
      <c r="P185" s="12">
        <v>235</v>
      </c>
      <c r="Q185" s="12" t="s">
        <v>271</v>
      </c>
      <c r="R185" s="12" t="s">
        <v>79</v>
      </c>
      <c r="S185" s="12" t="s">
        <v>292</v>
      </c>
      <c r="T185" s="12" t="s">
        <v>159</v>
      </c>
      <c r="U185" s="12" t="s">
        <v>160</v>
      </c>
      <c r="V185" s="12"/>
      <c r="W185" s="12"/>
      <c r="X185" s="12"/>
      <c r="Y185" s="12"/>
      <c r="Z185" s="12"/>
      <c r="AA185" s="12"/>
      <c r="AB185" s="12"/>
      <c r="AC185" s="12" t="str">
        <f>Table1[[#This Row],[City or Community (Marin County)]]</f>
        <v>Corte Madera</v>
      </c>
      <c r="AD185" s="12">
        <f>COUNTIF(E:E,Table1[[#This Row],[City or Community (Marin County)]])</f>
        <v>9</v>
      </c>
      <c r="AE185" s="12" t="str">
        <f>Table1[[#This Row],[Please select your county]]</f>
        <v>Marin County</v>
      </c>
      <c r="AF185" s="41">
        <f>COUNTIF(AE:AE,Table1[[#This Row],[County]])</f>
        <v>20</v>
      </c>
      <c r="AG185" s="12">
        <v>2025</v>
      </c>
    </row>
    <row r="186" spans="1:33" ht="15.5" x14ac:dyDescent="0.35">
      <c r="A186" s="12">
        <v>306</v>
      </c>
      <c r="B186" s="12" t="s">
        <v>147</v>
      </c>
      <c r="C186" s="12"/>
      <c r="D186" s="12"/>
      <c r="E186" s="12" t="s">
        <v>347</v>
      </c>
      <c r="F186" s="12"/>
      <c r="G186" s="12"/>
      <c r="H186" s="12"/>
      <c r="I186" s="12"/>
      <c r="J186" s="12"/>
      <c r="K186" s="10" t="s">
        <v>274</v>
      </c>
      <c r="L186" s="10"/>
      <c r="M186" s="10"/>
      <c r="N186" s="10"/>
      <c r="O186" s="12" t="s">
        <v>38</v>
      </c>
      <c r="P186" s="12">
        <v>275</v>
      </c>
      <c r="Q186" s="12" t="s">
        <v>271</v>
      </c>
      <c r="R186" s="12" t="s">
        <v>79</v>
      </c>
      <c r="S186" s="12" t="s">
        <v>272</v>
      </c>
      <c r="T186" s="12" t="s">
        <v>159</v>
      </c>
      <c r="U186" s="12" t="s">
        <v>160</v>
      </c>
      <c r="V186" s="12"/>
      <c r="W186" s="12"/>
      <c r="X186" s="12"/>
      <c r="Y186" s="12"/>
      <c r="Z186" s="12"/>
      <c r="AA186" s="12"/>
      <c r="AB186" s="12"/>
      <c r="AC186" s="12" t="str">
        <f>Table1[[#This Row],[City or Community (Marin County)]]</f>
        <v>Corte Madera</v>
      </c>
      <c r="AD186" s="12">
        <f>COUNTIF(E:E,Table1[[#This Row],[City or Community (Marin County)]])</f>
        <v>9</v>
      </c>
      <c r="AE186" s="12" t="str">
        <f>Table1[[#This Row],[Please select your county]]</f>
        <v>Marin County</v>
      </c>
      <c r="AF186" s="41">
        <f>COUNTIF(AE:AE,Table1[[#This Row],[County]])</f>
        <v>20</v>
      </c>
      <c r="AG186" s="12">
        <v>2025</v>
      </c>
    </row>
    <row r="187" spans="1:33" ht="15.5" x14ac:dyDescent="0.35">
      <c r="A187" s="12">
        <v>117</v>
      </c>
      <c r="B187" s="12" t="s">
        <v>147</v>
      </c>
      <c r="C187" s="12"/>
      <c r="D187" s="12"/>
      <c r="E187" s="12" t="s">
        <v>347</v>
      </c>
      <c r="F187" s="12"/>
      <c r="G187" s="12"/>
      <c r="H187" s="12"/>
      <c r="I187" s="12"/>
      <c r="J187" s="12"/>
      <c r="K187" s="10" t="s">
        <v>274</v>
      </c>
      <c r="L187" s="10"/>
      <c r="M187" s="10"/>
      <c r="N187" s="10"/>
      <c r="O187" s="12" t="s">
        <v>38</v>
      </c>
      <c r="P187" s="12">
        <v>300</v>
      </c>
      <c r="Q187" s="12" t="s">
        <v>281</v>
      </c>
      <c r="R187" s="12" t="s">
        <v>79</v>
      </c>
      <c r="S187" s="12" t="s">
        <v>292</v>
      </c>
      <c r="T187" s="12" t="s">
        <v>83</v>
      </c>
      <c r="U187" s="12" t="s">
        <v>160</v>
      </c>
      <c r="V187" s="12"/>
      <c r="W187" s="12"/>
      <c r="X187" s="12"/>
      <c r="Y187" s="12"/>
      <c r="Z187" s="12"/>
      <c r="AA187" s="12"/>
      <c r="AB187" s="12"/>
      <c r="AC187" s="12" t="str">
        <f>Table1[[#This Row],[City or Community (Marin County)]]</f>
        <v>Corte Madera</v>
      </c>
      <c r="AD187" s="12">
        <f>COUNTIF(E:E,Table1[[#This Row],[City or Community (Marin County)]])</f>
        <v>9</v>
      </c>
      <c r="AE187" s="12" t="str">
        <f>Table1[[#This Row],[Please select your county]]</f>
        <v>Marin County</v>
      </c>
      <c r="AF187" s="41">
        <f>COUNTIF(AE:AE,Table1[[#This Row],[County]])</f>
        <v>20</v>
      </c>
      <c r="AG187" s="12">
        <v>2025</v>
      </c>
    </row>
    <row r="188" spans="1:33" ht="31" x14ac:dyDescent="0.35">
      <c r="A188" s="12">
        <v>483</v>
      </c>
      <c r="B188" s="12" t="s">
        <v>147</v>
      </c>
      <c r="C188" s="12"/>
      <c r="D188" s="12"/>
      <c r="E188" s="12" t="s">
        <v>347</v>
      </c>
      <c r="F188" s="12"/>
      <c r="G188" s="12"/>
      <c r="H188" s="12"/>
      <c r="I188" s="12"/>
      <c r="J188" s="12"/>
      <c r="K188" s="10" t="s">
        <v>349</v>
      </c>
      <c r="L188" s="10" t="s">
        <v>277</v>
      </c>
      <c r="M188" s="10" t="s">
        <v>269</v>
      </c>
      <c r="N188" s="10" t="s">
        <v>280</v>
      </c>
      <c r="O188" s="12" t="s">
        <v>38</v>
      </c>
      <c r="P188" s="12">
        <v>325</v>
      </c>
      <c r="Q188" s="12" t="s">
        <v>281</v>
      </c>
      <c r="R188" s="12" t="s">
        <v>165</v>
      </c>
      <c r="S188" s="12" t="s">
        <v>276</v>
      </c>
      <c r="T188" s="12" t="s">
        <v>159</v>
      </c>
      <c r="U188" s="12" t="s">
        <v>160</v>
      </c>
      <c r="V188" s="12"/>
      <c r="W188" s="12"/>
      <c r="X188" s="12"/>
      <c r="Y188" s="12"/>
      <c r="Z188" s="12"/>
      <c r="AA188" s="12"/>
      <c r="AB188" s="12"/>
      <c r="AC188" s="12" t="str">
        <f>Table1[[#This Row],[City or Community (Marin County)]]</f>
        <v>Corte Madera</v>
      </c>
      <c r="AD188" s="12">
        <f>COUNTIF(E:E,Table1[[#This Row],[City or Community (Marin County)]])</f>
        <v>9</v>
      </c>
      <c r="AE188" s="12" t="str">
        <f>Table1[[#This Row],[Please select your county]]</f>
        <v>Marin County</v>
      </c>
      <c r="AF188" s="41">
        <f>COUNTIF(AE:AE,Table1[[#This Row],[County]])</f>
        <v>20</v>
      </c>
      <c r="AG188" s="12">
        <v>2025</v>
      </c>
    </row>
    <row r="189" spans="1:33" ht="31" x14ac:dyDescent="0.35">
      <c r="A189" s="12">
        <v>531</v>
      </c>
      <c r="B189" s="12" t="s">
        <v>147</v>
      </c>
      <c r="C189" s="12"/>
      <c r="D189" s="12"/>
      <c r="E189" s="12" t="s">
        <v>347</v>
      </c>
      <c r="F189" s="12"/>
      <c r="G189" s="12"/>
      <c r="H189" s="12"/>
      <c r="I189" s="12"/>
      <c r="J189" s="12"/>
      <c r="K189" s="10" t="s">
        <v>274</v>
      </c>
      <c r="L189" s="10" t="s">
        <v>268</v>
      </c>
      <c r="M189" s="10" t="s">
        <v>301</v>
      </c>
      <c r="N189" s="10" t="s">
        <v>278</v>
      </c>
      <c r="O189" s="12" t="s">
        <v>38</v>
      </c>
      <c r="P189" s="12">
        <v>475</v>
      </c>
      <c r="Q189" s="12" t="s">
        <v>271</v>
      </c>
      <c r="R189" s="12" t="s">
        <v>79</v>
      </c>
      <c r="S189" s="12" t="s">
        <v>276</v>
      </c>
      <c r="T189" s="12" t="s">
        <v>159</v>
      </c>
      <c r="U189" s="12" t="s">
        <v>160</v>
      </c>
      <c r="V189" s="12"/>
      <c r="W189" s="12"/>
      <c r="X189" s="12"/>
      <c r="Y189" s="12"/>
      <c r="Z189" s="12"/>
      <c r="AA189" s="12"/>
      <c r="AB189" s="12"/>
      <c r="AC189" s="12" t="str">
        <f>Table1[[#This Row],[City or Community (Marin County)]]</f>
        <v>Corte Madera</v>
      </c>
      <c r="AD189" s="12">
        <f>COUNTIF(E:E,Table1[[#This Row],[City or Community (Marin County)]])</f>
        <v>9</v>
      </c>
      <c r="AE189" s="12" t="str">
        <f>Table1[[#This Row],[Please select your county]]</f>
        <v>Marin County</v>
      </c>
      <c r="AF189" s="41">
        <f>COUNTIF(AE:AE,Table1[[#This Row],[County]])</f>
        <v>20</v>
      </c>
      <c r="AG189" s="12">
        <v>2025</v>
      </c>
    </row>
    <row r="190" spans="1:33" ht="15.5" x14ac:dyDescent="0.35">
      <c r="A190" s="12">
        <v>107</v>
      </c>
      <c r="B190" s="12" t="s">
        <v>147</v>
      </c>
      <c r="C190" s="12"/>
      <c r="D190" s="12"/>
      <c r="E190" s="12" t="s">
        <v>347</v>
      </c>
      <c r="F190" s="12"/>
      <c r="G190" s="12"/>
      <c r="H190" s="12"/>
      <c r="I190" s="12"/>
      <c r="J190" s="12"/>
      <c r="K190" s="10" t="s">
        <v>274</v>
      </c>
      <c r="L190" s="10"/>
      <c r="M190" s="10"/>
      <c r="N190" s="10"/>
      <c r="O190" s="12" t="s">
        <v>38</v>
      </c>
      <c r="P190" s="12">
        <v>550</v>
      </c>
      <c r="Q190" s="12" t="s">
        <v>281</v>
      </c>
      <c r="R190" s="12" t="s">
        <v>79</v>
      </c>
      <c r="S190" s="12" t="s">
        <v>292</v>
      </c>
      <c r="T190" s="12" t="s">
        <v>159</v>
      </c>
      <c r="U190" s="12" t="s">
        <v>160</v>
      </c>
      <c r="V190" s="12"/>
      <c r="W190" s="12"/>
      <c r="X190" s="12"/>
      <c r="Y190" s="12"/>
      <c r="Z190" s="12"/>
      <c r="AA190" s="12"/>
      <c r="AB190" s="12"/>
      <c r="AC190" s="12" t="str">
        <f>Table1[[#This Row],[City or Community (Marin County)]]</f>
        <v>Corte Madera</v>
      </c>
      <c r="AD190" s="12">
        <f>COUNTIF(E:E,Table1[[#This Row],[City or Community (Marin County)]])</f>
        <v>9</v>
      </c>
      <c r="AE190" s="12" t="str">
        <f>Table1[[#This Row],[Please select your county]]</f>
        <v>Marin County</v>
      </c>
      <c r="AF190" s="41">
        <f>COUNTIF(AE:AE,Table1[[#This Row],[County]])</f>
        <v>20</v>
      </c>
      <c r="AG190" s="12">
        <v>2025</v>
      </c>
    </row>
    <row r="191" spans="1:33" ht="15.5" x14ac:dyDescent="0.35">
      <c r="A191" s="12">
        <v>226</v>
      </c>
      <c r="B191" s="12" t="s">
        <v>147</v>
      </c>
      <c r="C191" s="12"/>
      <c r="D191" s="12"/>
      <c r="E191" s="12" t="s">
        <v>347</v>
      </c>
      <c r="F191" s="12"/>
      <c r="G191" s="12"/>
      <c r="H191" s="12"/>
      <c r="I191" s="12"/>
      <c r="J191" s="12"/>
      <c r="K191" s="10" t="s">
        <v>274</v>
      </c>
      <c r="L191" s="10"/>
      <c r="M191" s="10"/>
      <c r="N191" s="10"/>
      <c r="O191" s="12" t="s">
        <v>38</v>
      </c>
      <c r="P191" s="12">
        <v>560</v>
      </c>
      <c r="Q191" s="12" t="s">
        <v>281</v>
      </c>
      <c r="R191" s="12" t="s">
        <v>79</v>
      </c>
      <c r="S191" s="12" t="s">
        <v>272</v>
      </c>
      <c r="T191" s="12" t="s">
        <v>159</v>
      </c>
      <c r="U191" s="12" t="s">
        <v>159</v>
      </c>
      <c r="V191" s="12" t="s">
        <v>163</v>
      </c>
      <c r="W191" s="12" t="s">
        <v>289</v>
      </c>
      <c r="X191" s="12"/>
      <c r="Y191" s="12" t="s">
        <v>290</v>
      </c>
      <c r="Z191" s="12"/>
      <c r="AA191" s="12" t="s">
        <v>300</v>
      </c>
      <c r="AB191" s="12" t="s">
        <v>165</v>
      </c>
      <c r="AC191" s="12" t="str">
        <f>Table1[[#This Row],[City or Community (Marin County)]]</f>
        <v>Corte Madera</v>
      </c>
      <c r="AD191" s="12">
        <f>COUNTIF(E:E,Table1[[#This Row],[City or Community (Marin County)]])</f>
        <v>9</v>
      </c>
      <c r="AE191" s="12" t="str">
        <f>Table1[[#This Row],[Please select your county]]</f>
        <v>Marin County</v>
      </c>
      <c r="AF191" s="41">
        <f>COUNTIF(AE:AE,Table1[[#This Row],[County]])</f>
        <v>20</v>
      </c>
      <c r="AG191" s="12">
        <v>2025</v>
      </c>
    </row>
    <row r="192" spans="1:33" ht="15.5" x14ac:dyDescent="0.35">
      <c r="A192" s="12">
        <v>170</v>
      </c>
      <c r="B192" s="12" t="s">
        <v>147</v>
      </c>
      <c r="C192" s="12"/>
      <c r="D192" s="12"/>
      <c r="E192" s="12" t="s">
        <v>347</v>
      </c>
      <c r="F192" s="12"/>
      <c r="G192" s="12"/>
      <c r="H192" s="12"/>
      <c r="I192" s="12"/>
      <c r="J192" s="12"/>
      <c r="K192" s="10" t="s">
        <v>267</v>
      </c>
      <c r="L192" s="10"/>
      <c r="M192" s="10"/>
      <c r="N192" s="10"/>
      <c r="O192" s="12" t="s">
        <v>38</v>
      </c>
      <c r="P192" s="12">
        <v>700</v>
      </c>
      <c r="Q192" s="12" t="s">
        <v>281</v>
      </c>
      <c r="R192" s="12" t="s">
        <v>72</v>
      </c>
      <c r="S192" s="12" t="s">
        <v>276</v>
      </c>
      <c r="T192" s="12" t="s">
        <v>159</v>
      </c>
      <c r="U192" s="12" t="s">
        <v>160</v>
      </c>
      <c r="V192" s="12"/>
      <c r="W192" s="12"/>
      <c r="X192" s="12"/>
      <c r="Y192" s="12"/>
      <c r="Z192" s="12"/>
      <c r="AA192" s="12"/>
      <c r="AB192" s="12"/>
      <c r="AC192" s="12" t="str">
        <f>Table1[[#This Row],[City or Community (Marin County)]]</f>
        <v>Corte Madera</v>
      </c>
      <c r="AD192" s="12">
        <f>COUNTIF(E:E,Table1[[#This Row],[City or Community (Marin County)]])</f>
        <v>9</v>
      </c>
      <c r="AE192" s="12" t="str">
        <f>Table1[[#This Row],[Please select your county]]</f>
        <v>Marin County</v>
      </c>
      <c r="AF192" s="41">
        <f>COUNTIF(AE:AE,Table1[[#This Row],[County]])</f>
        <v>20</v>
      </c>
      <c r="AG192" s="12">
        <v>2025</v>
      </c>
    </row>
    <row r="193" spans="1:33" ht="31" x14ac:dyDescent="0.35">
      <c r="A193" s="12">
        <v>575</v>
      </c>
      <c r="B193" s="12" t="s">
        <v>147</v>
      </c>
      <c r="C193" s="12"/>
      <c r="D193" s="12"/>
      <c r="E193" s="12" t="s">
        <v>347</v>
      </c>
      <c r="F193" s="12"/>
      <c r="G193" s="12"/>
      <c r="H193" s="12"/>
      <c r="I193" s="12"/>
      <c r="J193" s="12"/>
      <c r="K193" s="10" t="s">
        <v>350</v>
      </c>
      <c r="L193" s="10" t="s">
        <v>313</v>
      </c>
      <c r="M193" s="10" t="s">
        <v>269</v>
      </c>
      <c r="N193" s="10" t="s">
        <v>280</v>
      </c>
      <c r="O193" s="12" t="s">
        <v>38</v>
      </c>
      <c r="P193" s="12">
        <v>900</v>
      </c>
      <c r="Q193" s="12" t="s">
        <v>281</v>
      </c>
      <c r="R193" s="12" t="s">
        <v>69</v>
      </c>
      <c r="S193" s="12" t="s">
        <v>276</v>
      </c>
      <c r="T193" s="12" t="s">
        <v>159</v>
      </c>
      <c r="U193" s="12" t="s">
        <v>160</v>
      </c>
      <c r="V193" s="12"/>
      <c r="W193" s="12"/>
      <c r="X193" s="12"/>
      <c r="Y193" s="12"/>
      <c r="Z193" s="12"/>
      <c r="AA193" s="12"/>
      <c r="AB193" s="12"/>
      <c r="AC193" s="12" t="str">
        <f>Table1[[#This Row],[City or Community (Marin County)]]</f>
        <v>Corte Madera</v>
      </c>
      <c r="AD193" s="12">
        <f>COUNTIF(E:E,Table1[[#This Row],[City or Community (Marin County)]])</f>
        <v>9</v>
      </c>
      <c r="AE193" s="12" t="str">
        <f>Table1[[#This Row],[Please select your county]]</f>
        <v>Marin County</v>
      </c>
      <c r="AF193" s="41">
        <f>COUNTIF(AE:AE,Table1[[#This Row],[County]])</f>
        <v>20</v>
      </c>
      <c r="AG193" s="12">
        <v>2025</v>
      </c>
    </row>
    <row r="194" spans="1:33" ht="31" x14ac:dyDescent="0.35">
      <c r="A194" s="12">
        <v>520</v>
      </c>
      <c r="B194" s="12" t="s">
        <v>147</v>
      </c>
      <c r="C194" s="12"/>
      <c r="D194" s="12"/>
      <c r="E194" s="12" t="s">
        <v>351</v>
      </c>
      <c r="F194" s="12"/>
      <c r="G194" s="12"/>
      <c r="H194" s="12"/>
      <c r="I194" s="12"/>
      <c r="J194" s="12"/>
      <c r="K194" s="10" t="s">
        <v>273</v>
      </c>
      <c r="L194" s="10" t="s">
        <v>279</v>
      </c>
      <c r="M194" s="10" t="s">
        <v>301</v>
      </c>
      <c r="N194" s="10" t="s">
        <v>280</v>
      </c>
      <c r="O194" s="12" t="s">
        <v>39</v>
      </c>
      <c r="P194" s="12">
        <v>180</v>
      </c>
      <c r="Q194" s="12" t="s">
        <v>271</v>
      </c>
      <c r="R194" s="12" t="s">
        <v>76</v>
      </c>
      <c r="S194" s="12" t="s">
        <v>276</v>
      </c>
      <c r="T194" s="12" t="s">
        <v>159</v>
      </c>
      <c r="U194" s="12" t="s">
        <v>160</v>
      </c>
      <c r="V194" s="12"/>
      <c r="W194" s="12"/>
      <c r="X194" s="12"/>
      <c r="Y194" s="12"/>
      <c r="Z194" s="12"/>
      <c r="AA194" s="12"/>
      <c r="AB194" s="12"/>
      <c r="AC194" s="12" t="str">
        <f>Table1[[#This Row],[City or Community (Marin County)]]</f>
        <v>San Anselmo</v>
      </c>
      <c r="AD194" s="12">
        <f>COUNTIF(E:E,Table1[[#This Row],[City or Community (Marin County)]])</f>
        <v>7</v>
      </c>
      <c r="AE194" s="12" t="str">
        <f>Table1[[#This Row],[Please select your county]]</f>
        <v>Marin County</v>
      </c>
      <c r="AF194" s="41">
        <f>COUNTIF(AE:AE,Table1[[#This Row],[County]])</f>
        <v>20</v>
      </c>
      <c r="AG194" s="12">
        <v>2025</v>
      </c>
    </row>
    <row r="195" spans="1:33" ht="31" x14ac:dyDescent="0.35">
      <c r="A195" s="12">
        <v>449</v>
      </c>
      <c r="B195" s="12" t="s">
        <v>147</v>
      </c>
      <c r="C195" s="12"/>
      <c r="D195" s="12"/>
      <c r="E195" s="12" t="s">
        <v>351</v>
      </c>
      <c r="F195" s="12"/>
      <c r="G195" s="12"/>
      <c r="H195" s="12"/>
      <c r="I195" s="12"/>
      <c r="J195" s="12"/>
      <c r="K195" s="10" t="s">
        <v>273</v>
      </c>
      <c r="L195" s="10" t="s">
        <v>268</v>
      </c>
      <c r="M195" s="10" t="s">
        <v>269</v>
      </c>
      <c r="N195" s="10" t="s">
        <v>278</v>
      </c>
      <c r="O195" s="12" t="s">
        <v>39</v>
      </c>
      <c r="P195" s="12">
        <v>338</v>
      </c>
      <c r="Q195" s="12" t="s">
        <v>271</v>
      </c>
      <c r="R195" s="12" t="s">
        <v>76</v>
      </c>
      <c r="S195" s="12" t="s">
        <v>275</v>
      </c>
      <c r="T195" s="12" t="s">
        <v>159</v>
      </c>
      <c r="U195" s="12" t="s">
        <v>160</v>
      </c>
      <c r="V195" s="12"/>
      <c r="W195" s="12"/>
      <c r="X195" s="12"/>
      <c r="Y195" s="12"/>
      <c r="Z195" s="12"/>
      <c r="AA195" s="12"/>
      <c r="AB195" s="12"/>
      <c r="AC195" s="12" t="str">
        <f>Table1[[#This Row],[City or Community (Marin County)]]</f>
        <v>San Anselmo</v>
      </c>
      <c r="AD195" s="12">
        <f>COUNTIF(E:E,Table1[[#This Row],[City or Community (Marin County)]])</f>
        <v>7</v>
      </c>
      <c r="AE195" s="12" t="str">
        <f>Table1[[#This Row],[Please select your county]]</f>
        <v>Marin County</v>
      </c>
      <c r="AF195" s="41">
        <f>COUNTIF(AE:AE,Table1[[#This Row],[County]])</f>
        <v>20</v>
      </c>
      <c r="AG195" s="12">
        <v>2025</v>
      </c>
    </row>
    <row r="196" spans="1:33" ht="15.5" x14ac:dyDescent="0.35">
      <c r="A196" s="12">
        <v>568</v>
      </c>
      <c r="B196" s="12" t="s">
        <v>147</v>
      </c>
      <c r="C196" s="12"/>
      <c r="D196" s="12"/>
      <c r="E196" s="12" t="s">
        <v>351</v>
      </c>
      <c r="F196" s="12"/>
      <c r="G196" s="12"/>
      <c r="H196" s="12"/>
      <c r="I196" s="12"/>
      <c r="J196" s="12"/>
      <c r="K196" s="12" t="s">
        <v>321</v>
      </c>
      <c r="L196" s="12" t="s">
        <v>268</v>
      </c>
      <c r="M196" s="12" t="s">
        <v>269</v>
      </c>
      <c r="N196" s="12" t="s">
        <v>280</v>
      </c>
      <c r="O196" s="12" t="s">
        <v>38</v>
      </c>
      <c r="P196" s="12">
        <v>342</v>
      </c>
      <c r="Q196" s="12" t="s">
        <v>271</v>
      </c>
      <c r="R196" s="12" t="s">
        <v>68</v>
      </c>
      <c r="S196" s="12" t="s">
        <v>276</v>
      </c>
      <c r="T196" s="12" t="s">
        <v>159</v>
      </c>
      <c r="U196" s="12" t="s">
        <v>160</v>
      </c>
      <c r="V196" s="12"/>
      <c r="W196" s="12"/>
      <c r="X196" s="12"/>
      <c r="Y196" s="12"/>
      <c r="Z196" s="12"/>
      <c r="AA196" s="12"/>
      <c r="AB196" s="12"/>
      <c r="AC196" s="12" t="str">
        <f>Table1[[#This Row],[City or Community (Marin County)]]</f>
        <v>San Anselmo</v>
      </c>
      <c r="AD196" s="12">
        <f>COUNTIF(E:E,Table1[[#This Row],[City or Community (Marin County)]])</f>
        <v>7</v>
      </c>
      <c r="AE196" s="12" t="str">
        <f>Table1[[#This Row],[Please select your county]]</f>
        <v>Marin County</v>
      </c>
      <c r="AF196" s="41">
        <f>COUNTIF(AE:AE,Table1[[#This Row],[County]])</f>
        <v>20</v>
      </c>
      <c r="AG196" s="12">
        <v>2025</v>
      </c>
    </row>
    <row r="197" spans="1:33" ht="15.5" x14ac:dyDescent="0.35">
      <c r="A197" s="12">
        <v>563</v>
      </c>
      <c r="B197" s="12" t="s">
        <v>147</v>
      </c>
      <c r="C197" s="12"/>
      <c r="D197" s="12"/>
      <c r="E197" s="12" t="s">
        <v>351</v>
      </c>
      <c r="F197" s="12"/>
      <c r="G197" s="12"/>
      <c r="H197" s="12"/>
      <c r="I197" s="12"/>
      <c r="J197" s="12"/>
      <c r="K197" s="10" t="s">
        <v>267</v>
      </c>
      <c r="L197" s="10" t="s">
        <v>312</v>
      </c>
      <c r="M197" s="10" t="s">
        <v>269</v>
      </c>
      <c r="N197" s="10" t="s">
        <v>288</v>
      </c>
      <c r="O197" s="12" t="s">
        <v>38</v>
      </c>
      <c r="P197" s="12">
        <v>342</v>
      </c>
      <c r="Q197" s="12" t="s">
        <v>271</v>
      </c>
      <c r="R197" s="12" t="s">
        <v>68</v>
      </c>
      <c r="S197" s="12" t="s">
        <v>276</v>
      </c>
      <c r="T197" s="12" t="s">
        <v>159</v>
      </c>
      <c r="U197" s="12" t="s">
        <v>160</v>
      </c>
      <c r="V197" s="12"/>
      <c r="W197" s="12"/>
      <c r="X197" s="12"/>
      <c r="Y197" s="12"/>
      <c r="Z197" s="12"/>
      <c r="AA197" s="12"/>
      <c r="AB197" s="12"/>
      <c r="AC197" s="12" t="str">
        <f>Table1[[#This Row],[City or Community (Marin County)]]</f>
        <v>San Anselmo</v>
      </c>
      <c r="AD197" s="12">
        <f>COUNTIF(E:E,Table1[[#This Row],[City or Community (Marin County)]])</f>
        <v>7</v>
      </c>
      <c r="AE197" s="12" t="str">
        <f>Table1[[#This Row],[Please select your county]]</f>
        <v>Marin County</v>
      </c>
      <c r="AF197" s="41">
        <f>COUNTIF(AE:AE,Table1[[#This Row],[County]])</f>
        <v>20</v>
      </c>
      <c r="AG197" s="12">
        <v>2025</v>
      </c>
    </row>
    <row r="198" spans="1:33" ht="31" x14ac:dyDescent="0.35">
      <c r="A198" s="12">
        <v>561</v>
      </c>
      <c r="B198" s="12" t="s">
        <v>147</v>
      </c>
      <c r="C198" s="12"/>
      <c r="D198" s="12"/>
      <c r="E198" s="12" t="s">
        <v>351</v>
      </c>
      <c r="F198" s="12"/>
      <c r="G198" s="12"/>
      <c r="H198" s="12"/>
      <c r="I198" s="12"/>
      <c r="J198" s="12"/>
      <c r="K198" s="10" t="s">
        <v>274</v>
      </c>
      <c r="L198" s="10" t="s">
        <v>279</v>
      </c>
      <c r="M198" s="10" t="s">
        <v>269</v>
      </c>
      <c r="N198" s="10" t="s">
        <v>280</v>
      </c>
      <c r="O198" s="12" t="s">
        <v>38</v>
      </c>
      <c r="P198" s="12">
        <v>400</v>
      </c>
      <c r="Q198" s="12" t="s">
        <v>281</v>
      </c>
      <c r="R198" s="12" t="s">
        <v>79</v>
      </c>
      <c r="S198" s="12" t="s">
        <v>272</v>
      </c>
      <c r="T198" s="12" t="s">
        <v>159</v>
      </c>
      <c r="U198" s="12" t="s">
        <v>160</v>
      </c>
      <c r="V198" s="12"/>
      <c r="W198" s="12"/>
      <c r="X198" s="12"/>
      <c r="Y198" s="12"/>
      <c r="Z198" s="12"/>
      <c r="AA198" s="12"/>
      <c r="AB198" s="12"/>
      <c r="AC198" s="12" t="str">
        <f>Table1[[#This Row],[City or Community (Marin County)]]</f>
        <v>San Anselmo</v>
      </c>
      <c r="AD198" s="12">
        <f>COUNTIF(E:E,Table1[[#This Row],[City or Community (Marin County)]])</f>
        <v>7</v>
      </c>
      <c r="AE198" s="12" t="str">
        <f>Table1[[#This Row],[Please select your county]]</f>
        <v>Marin County</v>
      </c>
      <c r="AF198" s="41">
        <f>COUNTIF(AE:AE,Table1[[#This Row],[County]])</f>
        <v>20</v>
      </c>
      <c r="AG198" s="12">
        <v>2025</v>
      </c>
    </row>
    <row r="199" spans="1:33" ht="31" x14ac:dyDescent="0.35">
      <c r="A199" s="12">
        <v>574</v>
      </c>
      <c r="B199" s="12" t="s">
        <v>147</v>
      </c>
      <c r="C199" s="12"/>
      <c r="D199" s="12"/>
      <c r="E199" s="12" t="s">
        <v>351</v>
      </c>
      <c r="F199" s="12"/>
      <c r="G199" s="12"/>
      <c r="H199" s="12"/>
      <c r="I199" s="12"/>
      <c r="J199" s="12"/>
      <c r="K199" s="10" t="s">
        <v>273</v>
      </c>
      <c r="L199" s="10" t="s">
        <v>312</v>
      </c>
      <c r="M199" s="10" t="s">
        <v>269</v>
      </c>
      <c r="N199" s="10" t="s">
        <v>278</v>
      </c>
      <c r="O199" s="12" t="s">
        <v>39</v>
      </c>
      <c r="P199" s="12">
        <v>900</v>
      </c>
      <c r="Q199" s="12" t="s">
        <v>295</v>
      </c>
      <c r="R199" s="12" t="s">
        <v>76</v>
      </c>
      <c r="S199" s="12" t="s">
        <v>272</v>
      </c>
      <c r="T199" s="12" t="s">
        <v>159</v>
      </c>
      <c r="U199" s="12" t="s">
        <v>159</v>
      </c>
      <c r="V199" s="12" t="s">
        <v>164</v>
      </c>
      <c r="W199" s="12" t="s">
        <v>289</v>
      </c>
      <c r="X199" s="12"/>
      <c r="Y199" s="12" t="s">
        <v>290</v>
      </c>
      <c r="Z199" s="12"/>
      <c r="AA199" s="12" t="s">
        <v>295</v>
      </c>
      <c r="AB199" s="12" t="s">
        <v>190</v>
      </c>
      <c r="AC199" s="12" t="str">
        <f>Table1[[#This Row],[City or Community (Marin County)]]</f>
        <v>San Anselmo</v>
      </c>
      <c r="AD199" s="12">
        <f>COUNTIF(E:E,Table1[[#This Row],[City or Community (Marin County)]])</f>
        <v>7</v>
      </c>
      <c r="AE199" s="12" t="str">
        <f>Table1[[#This Row],[Please select your county]]</f>
        <v>Marin County</v>
      </c>
      <c r="AF199" s="41">
        <f>COUNTIF(AE:AE,Table1[[#This Row],[County]])</f>
        <v>20</v>
      </c>
      <c r="AG199" s="12">
        <v>2025</v>
      </c>
    </row>
    <row r="200" spans="1:33" ht="31" x14ac:dyDescent="0.35">
      <c r="A200" s="12">
        <v>547</v>
      </c>
      <c r="B200" s="12" t="s">
        <v>147</v>
      </c>
      <c r="C200" s="12"/>
      <c r="D200" s="12"/>
      <c r="E200" s="12" t="s">
        <v>351</v>
      </c>
      <c r="F200" s="12"/>
      <c r="G200" s="12"/>
      <c r="H200" s="12"/>
      <c r="I200" s="12"/>
      <c r="J200" s="12"/>
      <c r="K200" s="10" t="s">
        <v>294</v>
      </c>
      <c r="L200" s="10" t="s">
        <v>279</v>
      </c>
      <c r="M200" s="10" t="s">
        <v>269</v>
      </c>
      <c r="N200" s="10" t="s">
        <v>280</v>
      </c>
      <c r="O200" s="12" t="s">
        <v>38</v>
      </c>
      <c r="P200" s="12">
        <v>1119</v>
      </c>
      <c r="Q200" s="12" t="s">
        <v>295</v>
      </c>
      <c r="R200" s="12" t="s">
        <v>79</v>
      </c>
      <c r="S200" s="12" t="s">
        <v>298</v>
      </c>
      <c r="T200" s="12" t="s">
        <v>159</v>
      </c>
      <c r="U200" s="12" t="s">
        <v>159</v>
      </c>
      <c r="V200" s="12" t="s">
        <v>163</v>
      </c>
      <c r="W200" s="12" t="s">
        <v>289</v>
      </c>
      <c r="X200" s="12"/>
      <c r="Y200" s="12" t="s">
        <v>290</v>
      </c>
      <c r="Z200" s="12"/>
      <c r="AA200" s="12" t="s">
        <v>295</v>
      </c>
      <c r="AB200" s="12" t="s">
        <v>189</v>
      </c>
      <c r="AC200" s="12" t="str">
        <f>Table1[[#This Row],[City or Community (Marin County)]]</f>
        <v>San Anselmo</v>
      </c>
      <c r="AD200" s="12">
        <f>COUNTIF(E:E,Table1[[#This Row],[City or Community (Marin County)]])</f>
        <v>7</v>
      </c>
      <c r="AE200" s="12" t="str">
        <f>Table1[[#This Row],[Please select your county]]</f>
        <v>Marin County</v>
      </c>
      <c r="AF200" s="41">
        <f>COUNTIF(AE:AE,Table1[[#This Row],[County]])</f>
        <v>20</v>
      </c>
      <c r="AG200" s="12">
        <v>2025</v>
      </c>
    </row>
    <row r="201" spans="1:33" ht="15.5" x14ac:dyDescent="0.35">
      <c r="A201" s="12">
        <v>211</v>
      </c>
      <c r="B201" s="12" t="s">
        <v>147</v>
      </c>
      <c r="C201" s="12"/>
      <c r="D201" s="12"/>
      <c r="E201" s="12" t="s">
        <v>352</v>
      </c>
      <c r="F201" s="12"/>
      <c r="G201" s="12"/>
      <c r="H201" s="12"/>
      <c r="I201" s="12"/>
      <c r="J201" s="12"/>
      <c r="K201" s="10" t="s">
        <v>267</v>
      </c>
      <c r="L201" s="10"/>
      <c r="M201" s="10"/>
      <c r="N201" s="10"/>
      <c r="O201" s="12" t="s">
        <v>38</v>
      </c>
      <c r="P201" s="12">
        <v>700</v>
      </c>
      <c r="Q201" s="12" t="s">
        <v>295</v>
      </c>
      <c r="R201" s="12" t="s">
        <v>69</v>
      </c>
      <c r="S201" s="12" t="s">
        <v>305</v>
      </c>
      <c r="T201" s="12" t="s">
        <v>159</v>
      </c>
      <c r="U201" s="12" t="s">
        <v>159</v>
      </c>
      <c r="V201" s="12" t="s">
        <v>164</v>
      </c>
      <c r="W201" s="12" t="s">
        <v>353</v>
      </c>
      <c r="X201" s="12"/>
      <c r="Y201" s="12" t="s">
        <v>290</v>
      </c>
      <c r="Z201" s="12"/>
      <c r="AA201" s="12" t="s">
        <v>295</v>
      </c>
      <c r="AB201" s="12" t="s">
        <v>187</v>
      </c>
      <c r="AC201" s="12" t="str">
        <f>Table1[[#This Row],[City or Community (Marin County)]]</f>
        <v>Novato</v>
      </c>
      <c r="AD201" s="12">
        <f>COUNTIF(E:E,Table1[[#This Row],[City or Community (Marin County)]])</f>
        <v>3</v>
      </c>
      <c r="AE201" s="12" t="str">
        <f>Table1[[#This Row],[Please select your county]]</f>
        <v>Marin County</v>
      </c>
      <c r="AF201" s="41">
        <f>COUNTIF(AE:AE,Table1[[#This Row],[County]])</f>
        <v>20</v>
      </c>
      <c r="AG201" s="12">
        <v>2025</v>
      </c>
    </row>
    <row r="202" spans="1:33" ht="15.5" x14ac:dyDescent="0.35">
      <c r="A202" s="12">
        <v>99</v>
      </c>
      <c r="B202" s="12" t="s">
        <v>147</v>
      </c>
      <c r="C202" s="12"/>
      <c r="D202" s="12"/>
      <c r="E202" s="12" t="s">
        <v>352</v>
      </c>
      <c r="F202" s="12"/>
      <c r="G202" s="12"/>
      <c r="H202" s="12"/>
      <c r="I202" s="12"/>
      <c r="J202" s="12"/>
      <c r="K202" s="10" t="s">
        <v>274</v>
      </c>
      <c r="L202" s="10"/>
      <c r="M202" s="10"/>
      <c r="N202" s="10"/>
      <c r="O202" s="12" t="s">
        <v>38</v>
      </c>
      <c r="P202" s="12">
        <v>750</v>
      </c>
      <c r="Q202" s="12" t="s">
        <v>281</v>
      </c>
      <c r="R202" s="12" t="s">
        <v>69</v>
      </c>
      <c r="S202" s="12" t="s">
        <v>282</v>
      </c>
      <c r="T202" s="12" t="s">
        <v>159</v>
      </c>
      <c r="U202" s="12" t="s">
        <v>160</v>
      </c>
      <c r="V202" s="12"/>
      <c r="W202" s="12"/>
      <c r="X202" s="12"/>
      <c r="Y202" s="12"/>
      <c r="Z202" s="12"/>
      <c r="AA202" s="12"/>
      <c r="AB202" s="12"/>
      <c r="AC202" s="12" t="str">
        <f>Table1[[#This Row],[City or Community (Marin County)]]</f>
        <v>Novato</v>
      </c>
      <c r="AD202" s="12">
        <f>COUNTIF(E:E,Table1[[#This Row],[City or Community (Marin County)]])</f>
        <v>3</v>
      </c>
      <c r="AE202" s="12" t="str">
        <f>Table1[[#This Row],[Please select your county]]</f>
        <v>Marin County</v>
      </c>
      <c r="AF202" s="41">
        <f>COUNTIF(AE:AE,Table1[[#This Row],[County]])</f>
        <v>20</v>
      </c>
      <c r="AG202" s="12">
        <v>2025</v>
      </c>
    </row>
    <row r="203" spans="1:33" ht="15.5" x14ac:dyDescent="0.35">
      <c r="A203" s="12">
        <v>101</v>
      </c>
      <c r="B203" s="12" t="s">
        <v>147</v>
      </c>
      <c r="C203" s="12"/>
      <c r="D203" s="12"/>
      <c r="E203" s="12" t="s">
        <v>352</v>
      </c>
      <c r="F203" s="12"/>
      <c r="G203" s="12"/>
      <c r="H203" s="12"/>
      <c r="I203" s="12"/>
      <c r="J203" s="12"/>
      <c r="K203" s="10" t="s">
        <v>267</v>
      </c>
      <c r="L203" s="10"/>
      <c r="M203" s="10"/>
      <c r="N203" s="10"/>
      <c r="O203" s="12" t="s">
        <v>38</v>
      </c>
      <c r="P203" s="12">
        <v>800</v>
      </c>
      <c r="Q203" s="12" t="s">
        <v>295</v>
      </c>
      <c r="R203" s="12" t="s">
        <v>70</v>
      </c>
      <c r="S203" s="12" t="s">
        <v>292</v>
      </c>
      <c r="T203" s="12" t="s">
        <v>159</v>
      </c>
      <c r="U203" s="12" t="s">
        <v>160</v>
      </c>
      <c r="V203" s="12"/>
      <c r="W203" s="12"/>
      <c r="X203" s="12"/>
      <c r="Y203" s="12"/>
      <c r="Z203" s="12"/>
      <c r="AA203" s="12"/>
      <c r="AB203" s="12"/>
      <c r="AC203" s="12" t="str">
        <f>Table1[[#This Row],[City or Community (Marin County)]]</f>
        <v>Novato</v>
      </c>
      <c r="AD203" s="12">
        <f>COUNTIF(E:E,Table1[[#This Row],[City or Community (Marin County)]])</f>
        <v>3</v>
      </c>
      <c r="AE203" s="12" t="str">
        <f>Table1[[#This Row],[Please select your county]]</f>
        <v>Marin County</v>
      </c>
      <c r="AF203" s="41">
        <f>COUNTIF(AE:AE,Table1[[#This Row],[County]])</f>
        <v>20</v>
      </c>
      <c r="AG203" s="12">
        <v>2025</v>
      </c>
    </row>
    <row r="204" spans="1:33" ht="15.5" x14ac:dyDescent="0.35">
      <c r="A204" s="12">
        <v>214</v>
      </c>
      <c r="B204" s="12" t="s">
        <v>147</v>
      </c>
      <c r="C204" s="12"/>
      <c r="D204" s="12"/>
      <c r="E204" s="12" t="s">
        <v>354</v>
      </c>
      <c r="F204" s="12"/>
      <c r="G204" s="12"/>
      <c r="H204" s="12"/>
      <c r="I204" s="12"/>
      <c r="J204" s="12"/>
      <c r="K204" s="10" t="s">
        <v>274</v>
      </c>
      <c r="L204" s="10"/>
      <c r="M204" s="10"/>
      <c r="N204" s="10"/>
      <c r="O204" s="12" t="s">
        <v>38</v>
      </c>
      <c r="P204" s="12">
        <v>500</v>
      </c>
      <c r="Q204" s="12" t="s">
        <v>281</v>
      </c>
      <c r="R204" s="12" t="s">
        <v>79</v>
      </c>
      <c r="S204" s="12" t="s">
        <v>272</v>
      </c>
      <c r="T204" s="12" t="s">
        <v>160</v>
      </c>
      <c r="U204" s="12" t="s">
        <v>159</v>
      </c>
      <c r="V204" s="12" t="s">
        <v>163</v>
      </c>
      <c r="W204" s="12" t="s">
        <v>289</v>
      </c>
      <c r="X204" s="12"/>
      <c r="Y204" s="12" t="s">
        <v>290</v>
      </c>
      <c r="Z204" s="12"/>
      <c r="AA204" s="12" t="s">
        <v>300</v>
      </c>
      <c r="AB204" s="12" t="s">
        <v>190</v>
      </c>
      <c r="AC204" s="12" t="str">
        <f>Table1[[#This Row],[City or Community (Marin County)]]</f>
        <v>Larkspur</v>
      </c>
      <c r="AD204" s="12">
        <f>COUNTIF(E:E,Table1[[#This Row],[City or Community (Marin County)]])</f>
        <v>1</v>
      </c>
      <c r="AE204" s="12" t="str">
        <f>Table1[[#This Row],[Please select your county]]</f>
        <v>Marin County</v>
      </c>
      <c r="AF204" s="41">
        <f>COUNTIF(AE:AE,Table1[[#This Row],[County]])</f>
        <v>20</v>
      </c>
      <c r="AG204" s="12">
        <v>2025</v>
      </c>
    </row>
    <row r="205" spans="1:33" ht="15.5" x14ac:dyDescent="0.35">
      <c r="A205" s="12">
        <v>337</v>
      </c>
      <c r="B205" s="12" t="s">
        <v>148</v>
      </c>
      <c r="C205" s="12"/>
      <c r="D205" s="12"/>
      <c r="E205" s="12"/>
      <c r="F205" s="12" t="s">
        <v>355</v>
      </c>
      <c r="G205" s="12"/>
      <c r="H205" s="12"/>
      <c r="I205" s="12"/>
      <c r="J205" s="12"/>
      <c r="K205" s="10" t="s">
        <v>274</v>
      </c>
      <c r="L205" s="10"/>
      <c r="M205" s="10"/>
      <c r="N205" s="10"/>
      <c r="O205" s="12" t="s">
        <v>38</v>
      </c>
      <c r="P205" s="12">
        <v>683</v>
      </c>
      <c r="Q205" s="12" t="s">
        <v>281</v>
      </c>
      <c r="R205" s="12" t="s">
        <v>79</v>
      </c>
      <c r="S205" s="12" t="s">
        <v>272</v>
      </c>
      <c r="T205" s="12" t="s">
        <v>83</v>
      </c>
      <c r="U205" s="12" t="s">
        <v>160</v>
      </c>
      <c r="V205" s="12"/>
      <c r="W205" s="12"/>
      <c r="X205" s="12"/>
      <c r="Y205" s="12"/>
      <c r="Z205" s="12"/>
      <c r="AA205" s="12"/>
      <c r="AB205" s="12"/>
      <c r="AC205" s="12" t="str">
        <f>Table1[[#This Row],[City or Community (Napa County)]]</f>
        <v>American Canyon</v>
      </c>
      <c r="AD205" s="12">
        <f>COUNTIF(F:F,Table1[[#This Row],[City or Community (Napa County)]])</f>
        <v>2</v>
      </c>
      <c r="AE205" s="12" t="str">
        <f>Table1[[#This Row],[Please select your county]]</f>
        <v>Napa County</v>
      </c>
      <c r="AF205" s="41">
        <f>COUNTIF(AE:AE,Table1[[#This Row],[County]])</f>
        <v>4</v>
      </c>
      <c r="AG205" s="12">
        <v>2025</v>
      </c>
    </row>
    <row r="206" spans="1:33" ht="31" x14ac:dyDescent="0.35">
      <c r="A206" s="12">
        <v>351</v>
      </c>
      <c r="B206" s="12" t="s">
        <v>148</v>
      </c>
      <c r="C206" s="12"/>
      <c r="D206" s="12"/>
      <c r="E206" s="12"/>
      <c r="F206" s="12" t="s">
        <v>355</v>
      </c>
      <c r="G206" s="12"/>
      <c r="H206" s="12"/>
      <c r="I206" s="12"/>
      <c r="J206" s="12"/>
      <c r="K206" s="10" t="s">
        <v>274</v>
      </c>
      <c r="L206" s="10" t="s">
        <v>279</v>
      </c>
      <c r="M206" s="10" t="s">
        <v>269</v>
      </c>
      <c r="N206" s="10" t="s">
        <v>280</v>
      </c>
      <c r="O206" s="12" t="s">
        <v>38</v>
      </c>
      <c r="P206" s="12">
        <v>683</v>
      </c>
      <c r="Q206" s="12" t="s">
        <v>281</v>
      </c>
      <c r="R206" s="12" t="s">
        <v>79</v>
      </c>
      <c r="S206" s="12" t="s">
        <v>276</v>
      </c>
      <c r="T206" s="12" t="s">
        <v>159</v>
      </c>
      <c r="U206" s="12" t="s">
        <v>160</v>
      </c>
      <c r="V206" s="12"/>
      <c r="W206" s="12"/>
      <c r="X206" s="12"/>
      <c r="Y206" s="12"/>
      <c r="Z206" s="12"/>
      <c r="AA206" s="12"/>
      <c r="AB206" s="12"/>
      <c r="AC206" s="12" t="str">
        <f>Table1[[#This Row],[City or Community (Napa County)]]</f>
        <v>American Canyon</v>
      </c>
      <c r="AD206" s="12">
        <f>COUNTIF(F:F,Table1[[#This Row],[City or Community (Napa County)]])</f>
        <v>2</v>
      </c>
      <c r="AE206" s="12" t="str">
        <f>Table1[[#This Row],[Please select your county]]</f>
        <v>Napa County</v>
      </c>
      <c r="AF206" s="41">
        <f>COUNTIF(AE:AE,Table1[[#This Row],[County]])</f>
        <v>4</v>
      </c>
      <c r="AG206" s="12">
        <v>2025</v>
      </c>
    </row>
    <row r="207" spans="1:33" ht="15.5" x14ac:dyDescent="0.35">
      <c r="A207" s="12">
        <v>112</v>
      </c>
      <c r="B207" s="12" t="s">
        <v>148</v>
      </c>
      <c r="C207" s="12"/>
      <c r="D207" s="12"/>
      <c r="E207" s="12"/>
      <c r="F207" s="12" t="s">
        <v>20</v>
      </c>
      <c r="G207" s="12"/>
      <c r="H207" s="12"/>
      <c r="I207" s="12"/>
      <c r="J207" s="12"/>
      <c r="K207" s="10" t="s">
        <v>267</v>
      </c>
      <c r="L207" s="10"/>
      <c r="M207" s="10"/>
      <c r="N207" s="10"/>
      <c r="O207" s="12" t="s">
        <v>38</v>
      </c>
      <c r="P207" s="12">
        <v>480</v>
      </c>
      <c r="Q207" s="12" t="s">
        <v>281</v>
      </c>
      <c r="R207" s="12" t="s">
        <v>70</v>
      </c>
      <c r="S207" s="12" t="s">
        <v>320</v>
      </c>
      <c r="T207" s="12" t="s">
        <v>160</v>
      </c>
      <c r="U207" s="12" t="s">
        <v>159</v>
      </c>
      <c r="V207" s="12" t="s">
        <v>163</v>
      </c>
      <c r="W207" s="12" t="s">
        <v>289</v>
      </c>
      <c r="X207" s="12"/>
      <c r="Y207" s="12" t="s">
        <v>290</v>
      </c>
      <c r="Z207" s="12"/>
      <c r="AA207" s="12" t="s">
        <v>295</v>
      </c>
      <c r="AB207" s="12" t="s">
        <v>190</v>
      </c>
      <c r="AC207" s="12" t="str">
        <f>Table1[[#This Row],[City or Community (Napa County)]]</f>
        <v>Napa</v>
      </c>
      <c r="AD207" s="12">
        <f>COUNTIF(F:F,Table1[[#This Row],[City or Community (Napa County)]])</f>
        <v>1</v>
      </c>
      <c r="AE207" s="12" t="str">
        <f>Table1[[#This Row],[Please select your county]]</f>
        <v>Napa County</v>
      </c>
      <c r="AF207" s="41">
        <f>COUNTIF(AE:AE,Table1[[#This Row],[County]])</f>
        <v>4</v>
      </c>
      <c r="AG207" s="12">
        <v>2025</v>
      </c>
    </row>
    <row r="208" spans="1:33" ht="31" x14ac:dyDescent="0.35">
      <c r="A208" s="12">
        <v>251</v>
      </c>
      <c r="B208" s="12" t="s">
        <v>148</v>
      </c>
      <c r="C208" s="12"/>
      <c r="D208" s="12"/>
      <c r="E208" s="12"/>
      <c r="F208" s="12" t="s">
        <v>356</v>
      </c>
      <c r="G208" s="12"/>
      <c r="H208" s="12"/>
      <c r="I208" s="12"/>
      <c r="J208" s="12"/>
      <c r="K208" s="10" t="s">
        <v>308</v>
      </c>
      <c r="L208" s="10"/>
      <c r="M208" s="10"/>
      <c r="N208" s="10"/>
      <c r="O208" s="12" t="s">
        <v>38</v>
      </c>
      <c r="P208" s="12">
        <v>900</v>
      </c>
      <c r="Q208" s="12" t="s">
        <v>271</v>
      </c>
      <c r="R208" s="12" t="s">
        <v>79</v>
      </c>
      <c r="S208" s="12" t="s">
        <v>272</v>
      </c>
      <c r="T208" s="12" t="s">
        <v>160</v>
      </c>
      <c r="U208" s="12" t="s">
        <v>160</v>
      </c>
      <c r="V208" s="12"/>
      <c r="W208" s="12"/>
      <c r="X208" s="12"/>
      <c r="Y208" s="12"/>
      <c r="Z208" s="12"/>
      <c r="AA208" s="12"/>
      <c r="AB208" s="12"/>
      <c r="AC208" s="12" t="str">
        <f>Table1[[#This Row],[City or Community (Napa County)]]</f>
        <v>Unincorporated Napa County</v>
      </c>
      <c r="AD208" s="12">
        <f>COUNTIF(F:F,Table1[[#This Row],[City or Community (Napa County)]])</f>
        <v>1</v>
      </c>
      <c r="AE208" s="12" t="str">
        <f>Table1[[#This Row],[Please select your county]]</f>
        <v>Napa County</v>
      </c>
      <c r="AF208" s="41">
        <f>COUNTIF(AE:AE,Table1[[#This Row],[County]])</f>
        <v>4</v>
      </c>
      <c r="AG208" s="12">
        <v>2025</v>
      </c>
    </row>
    <row r="209" spans="1:33" ht="15.5" x14ac:dyDescent="0.35">
      <c r="A209" s="12">
        <v>147</v>
      </c>
      <c r="B209" s="12" t="s">
        <v>149</v>
      </c>
      <c r="C209" s="12"/>
      <c r="D209" s="12"/>
      <c r="E209" s="12"/>
      <c r="F209" s="12"/>
      <c r="G209" s="12"/>
      <c r="H209" s="12"/>
      <c r="I209" s="12"/>
      <c r="J209" s="12"/>
      <c r="K209" s="10" t="s">
        <v>274</v>
      </c>
      <c r="L209" s="10"/>
      <c r="M209" s="10"/>
      <c r="N209" s="10"/>
      <c r="O209" s="12" t="s">
        <v>38</v>
      </c>
      <c r="P209" s="12">
        <v>250</v>
      </c>
      <c r="Q209" s="12" t="s">
        <v>271</v>
      </c>
      <c r="R209" s="12" t="s">
        <v>67</v>
      </c>
      <c r="S209" s="12" t="s">
        <v>272</v>
      </c>
      <c r="T209" s="12" t="s">
        <v>160</v>
      </c>
      <c r="U209" s="12" t="s">
        <v>160</v>
      </c>
      <c r="V209" s="12"/>
      <c r="W209" s="12"/>
      <c r="X209" s="12"/>
      <c r="Y209" s="12"/>
      <c r="Z209" s="12"/>
      <c r="AA209" s="12"/>
      <c r="AB209" s="12"/>
      <c r="AC209" s="12" t="str">
        <f>Table1[[#This Row],[Please select your county]]</f>
        <v>San Francisco County</v>
      </c>
      <c r="AD209" s="12">
        <f>COUNTIF(B:B,Table1[[#This Row],[Please select your county]])</f>
        <v>34</v>
      </c>
      <c r="AE209" s="12" t="str">
        <f>Table1[[#This Row],[Please select your county]]</f>
        <v>San Francisco County</v>
      </c>
      <c r="AF209" s="41">
        <f>COUNTIF(AE:AE,Table1[[#This Row],[County]])</f>
        <v>34</v>
      </c>
      <c r="AG209" s="12">
        <v>2025</v>
      </c>
    </row>
    <row r="210" spans="1:33" ht="15.5" x14ac:dyDescent="0.35">
      <c r="A210" s="12">
        <v>205</v>
      </c>
      <c r="B210" s="12" t="s">
        <v>149</v>
      </c>
      <c r="C210" s="12"/>
      <c r="D210" s="12"/>
      <c r="E210" s="12"/>
      <c r="F210" s="12"/>
      <c r="G210" s="12"/>
      <c r="H210" s="12"/>
      <c r="I210" s="12"/>
      <c r="J210" s="12"/>
      <c r="K210" s="10" t="s">
        <v>294</v>
      </c>
      <c r="L210" s="10"/>
      <c r="M210" s="10"/>
      <c r="N210" s="10"/>
      <c r="O210" s="12" t="s">
        <v>38</v>
      </c>
      <c r="P210" s="12">
        <v>275</v>
      </c>
      <c r="Q210" s="12" t="s">
        <v>271</v>
      </c>
      <c r="R210" s="12" t="s">
        <v>165</v>
      </c>
      <c r="S210" s="12" t="s">
        <v>357</v>
      </c>
      <c r="T210" s="12" t="s">
        <v>83</v>
      </c>
      <c r="U210" s="12" t="s">
        <v>160</v>
      </c>
      <c r="V210" s="12"/>
      <c r="W210" s="12"/>
      <c r="X210" s="12"/>
      <c r="Y210" s="12"/>
      <c r="Z210" s="12"/>
      <c r="AA210" s="12"/>
      <c r="AB210" s="12"/>
      <c r="AC210" s="12" t="str">
        <f>Table1[[#This Row],[Please select your county]]</f>
        <v>San Francisco County</v>
      </c>
      <c r="AD210" s="12">
        <f>COUNTIF(B:B,Table1[[#This Row],[Please select your county]])</f>
        <v>34</v>
      </c>
      <c r="AE210" s="12" t="str">
        <f>Table1[[#This Row],[Please select your county]]</f>
        <v>San Francisco County</v>
      </c>
      <c r="AF210" s="41">
        <f>COUNTIF(AE:AE,Table1[[#This Row],[County]])</f>
        <v>34</v>
      </c>
      <c r="AG210" s="12">
        <v>2025</v>
      </c>
    </row>
    <row r="211" spans="1:33" ht="15.5" x14ac:dyDescent="0.35">
      <c r="A211" s="12">
        <v>329</v>
      </c>
      <c r="B211" s="12" t="s">
        <v>149</v>
      </c>
      <c r="C211" s="12"/>
      <c r="D211" s="12"/>
      <c r="E211" s="12"/>
      <c r="F211" s="12"/>
      <c r="G211" s="12"/>
      <c r="H211" s="12"/>
      <c r="I211" s="12"/>
      <c r="J211" s="12"/>
      <c r="K211" s="10" t="s">
        <v>316</v>
      </c>
      <c r="L211" s="10"/>
      <c r="M211" s="10"/>
      <c r="N211" s="10"/>
      <c r="O211" s="12" t="s">
        <v>38</v>
      </c>
      <c r="P211" s="12">
        <v>300</v>
      </c>
      <c r="Q211" s="12" t="s">
        <v>281</v>
      </c>
      <c r="R211" s="12" t="s">
        <v>69</v>
      </c>
      <c r="S211" s="12" t="s">
        <v>282</v>
      </c>
      <c r="T211" s="12" t="s">
        <v>160</v>
      </c>
      <c r="U211" s="12" t="s">
        <v>160</v>
      </c>
      <c r="V211" s="12"/>
      <c r="W211" s="12"/>
      <c r="X211" s="12"/>
      <c r="Y211" s="12"/>
      <c r="Z211" s="12"/>
      <c r="AA211" s="12"/>
      <c r="AB211" s="12"/>
      <c r="AC211" s="12" t="str">
        <f>Table1[[#This Row],[Please select your county]]</f>
        <v>San Francisco County</v>
      </c>
      <c r="AD211" s="12">
        <f>COUNTIF(B:B,Table1[[#This Row],[Please select your county]])</f>
        <v>34</v>
      </c>
      <c r="AE211" s="12" t="str">
        <f>Table1[[#This Row],[Please select your county]]</f>
        <v>San Francisco County</v>
      </c>
      <c r="AF211" s="41">
        <f>COUNTIF(AE:AE,Table1[[#This Row],[County]])</f>
        <v>34</v>
      </c>
      <c r="AG211" s="12">
        <v>2025</v>
      </c>
    </row>
    <row r="212" spans="1:33" ht="31" x14ac:dyDescent="0.35">
      <c r="A212" s="12">
        <v>161</v>
      </c>
      <c r="B212" s="12" t="s">
        <v>149</v>
      </c>
      <c r="C212" s="12"/>
      <c r="D212" s="12"/>
      <c r="E212" s="12"/>
      <c r="F212" s="12"/>
      <c r="G212" s="12"/>
      <c r="H212" s="12"/>
      <c r="I212" s="12"/>
      <c r="J212" s="12"/>
      <c r="K212" s="10" t="s">
        <v>358</v>
      </c>
      <c r="L212" s="10"/>
      <c r="M212" s="10"/>
      <c r="N212" s="10"/>
      <c r="O212" s="12" t="s">
        <v>38</v>
      </c>
      <c r="P212" s="12">
        <v>350</v>
      </c>
      <c r="Q212" s="12" t="s">
        <v>271</v>
      </c>
      <c r="R212" s="12" t="s">
        <v>71</v>
      </c>
      <c r="S212" s="12" t="s">
        <v>272</v>
      </c>
      <c r="T212" s="12" t="s">
        <v>83</v>
      </c>
      <c r="U212" s="12" t="s">
        <v>159</v>
      </c>
      <c r="V212" s="12" t="s">
        <v>164</v>
      </c>
      <c r="W212" s="12" t="s">
        <v>289</v>
      </c>
      <c r="X212" s="12"/>
      <c r="Y212" s="12" t="s">
        <v>290</v>
      </c>
      <c r="Z212" s="12"/>
      <c r="AA212" s="12" t="s">
        <v>281</v>
      </c>
      <c r="AB212" s="12" t="s">
        <v>188</v>
      </c>
      <c r="AC212" s="12" t="str">
        <f>Table1[[#This Row],[Please select your county]]</f>
        <v>San Francisco County</v>
      </c>
      <c r="AD212" s="12">
        <f>COUNTIF(B:B,Table1[[#This Row],[Please select your county]])</f>
        <v>34</v>
      </c>
      <c r="AE212" s="12" t="str">
        <f>Table1[[#This Row],[Please select your county]]</f>
        <v>San Francisco County</v>
      </c>
      <c r="AF212" s="41">
        <f>COUNTIF(AE:AE,Table1[[#This Row],[County]])</f>
        <v>34</v>
      </c>
      <c r="AG212" s="12">
        <v>2025</v>
      </c>
    </row>
    <row r="213" spans="1:33" ht="15.5" x14ac:dyDescent="0.35">
      <c r="A213" s="12">
        <v>210</v>
      </c>
      <c r="B213" s="12" t="s">
        <v>149</v>
      </c>
      <c r="C213" s="12"/>
      <c r="D213" s="12"/>
      <c r="E213" s="12"/>
      <c r="F213" s="12"/>
      <c r="G213" s="12"/>
      <c r="H213" s="12"/>
      <c r="I213" s="12"/>
      <c r="J213" s="12"/>
      <c r="K213" s="10" t="s">
        <v>267</v>
      </c>
      <c r="L213" s="10"/>
      <c r="M213" s="10"/>
      <c r="N213" s="10"/>
      <c r="O213" s="12" t="s">
        <v>38</v>
      </c>
      <c r="P213" s="12">
        <v>350</v>
      </c>
      <c r="Q213" s="12" t="s">
        <v>271</v>
      </c>
      <c r="R213" s="12" t="s">
        <v>69</v>
      </c>
      <c r="S213" s="12" t="s">
        <v>304</v>
      </c>
      <c r="T213" s="12" t="s">
        <v>160</v>
      </c>
      <c r="U213" s="12" t="s">
        <v>160</v>
      </c>
      <c r="V213" s="12"/>
      <c r="W213" s="12"/>
      <c r="X213" s="12"/>
      <c r="Y213" s="12"/>
      <c r="Z213" s="12"/>
      <c r="AA213" s="12"/>
      <c r="AB213" s="12"/>
      <c r="AC213" s="12" t="str">
        <f>Table1[[#This Row],[Please select your county]]</f>
        <v>San Francisco County</v>
      </c>
      <c r="AD213" s="12">
        <f>COUNTIF(B:B,Table1[[#This Row],[Please select your county]])</f>
        <v>34</v>
      </c>
      <c r="AE213" s="12" t="str">
        <f>Table1[[#This Row],[Please select your county]]</f>
        <v>San Francisco County</v>
      </c>
      <c r="AF213" s="41">
        <f>COUNTIF(AE:AE,Table1[[#This Row],[County]])</f>
        <v>34</v>
      </c>
      <c r="AG213" s="12">
        <v>2025</v>
      </c>
    </row>
    <row r="214" spans="1:33" ht="15.5" x14ac:dyDescent="0.35">
      <c r="A214" s="12">
        <v>155</v>
      </c>
      <c r="B214" s="12" t="s">
        <v>149</v>
      </c>
      <c r="C214" s="12"/>
      <c r="D214" s="12"/>
      <c r="E214" s="12"/>
      <c r="F214" s="12"/>
      <c r="G214" s="12"/>
      <c r="H214" s="12"/>
      <c r="I214" s="12"/>
      <c r="J214" s="12"/>
      <c r="K214" s="10" t="s">
        <v>274</v>
      </c>
      <c r="L214" s="10"/>
      <c r="M214" s="10"/>
      <c r="N214" s="10"/>
      <c r="O214" s="12" t="s">
        <v>38</v>
      </c>
      <c r="P214" s="12">
        <v>400</v>
      </c>
      <c r="Q214" s="12" t="s">
        <v>295</v>
      </c>
      <c r="R214" s="12" t="s">
        <v>70</v>
      </c>
      <c r="S214" s="12" t="s">
        <v>304</v>
      </c>
      <c r="T214" s="12" t="s">
        <v>160</v>
      </c>
      <c r="U214" s="12" t="s">
        <v>159</v>
      </c>
      <c r="V214" s="12" t="s">
        <v>163</v>
      </c>
      <c r="W214" s="12" t="s">
        <v>299</v>
      </c>
      <c r="X214" s="12"/>
      <c r="Y214" s="12" t="s">
        <v>290</v>
      </c>
      <c r="Z214" s="12"/>
      <c r="AA214" s="12" t="s">
        <v>286</v>
      </c>
      <c r="AB214" s="12" t="s">
        <v>187</v>
      </c>
      <c r="AC214" s="12" t="str">
        <f>Table1[[#This Row],[Please select your county]]</f>
        <v>San Francisco County</v>
      </c>
      <c r="AD214" s="12">
        <f>COUNTIF(B:B,Table1[[#This Row],[Please select your county]])</f>
        <v>34</v>
      </c>
      <c r="AE214" s="12" t="str">
        <f>Table1[[#This Row],[Please select your county]]</f>
        <v>San Francisco County</v>
      </c>
      <c r="AF214" s="41">
        <f>COUNTIF(AE:AE,Table1[[#This Row],[County]])</f>
        <v>34</v>
      </c>
      <c r="AG214" s="12">
        <v>2025</v>
      </c>
    </row>
    <row r="215" spans="1:33" ht="15.5" x14ac:dyDescent="0.35">
      <c r="A215" s="12">
        <v>174</v>
      </c>
      <c r="B215" s="12" t="s">
        <v>149</v>
      </c>
      <c r="C215" s="12"/>
      <c r="D215" s="12"/>
      <c r="E215" s="12"/>
      <c r="F215" s="12"/>
      <c r="G215" s="12"/>
      <c r="H215" s="12"/>
      <c r="I215" s="12"/>
      <c r="J215" s="12"/>
      <c r="K215" s="10" t="s">
        <v>267</v>
      </c>
      <c r="L215" s="10"/>
      <c r="M215" s="10"/>
      <c r="N215" s="10"/>
      <c r="O215" s="12" t="s">
        <v>38</v>
      </c>
      <c r="P215" s="12">
        <v>435</v>
      </c>
      <c r="Q215" s="12" t="s">
        <v>271</v>
      </c>
      <c r="R215" s="12" t="s">
        <v>165</v>
      </c>
      <c r="S215" s="12" t="s">
        <v>284</v>
      </c>
      <c r="T215" s="12" t="s">
        <v>83</v>
      </c>
      <c r="U215" s="12" t="s">
        <v>159</v>
      </c>
      <c r="V215" s="12" t="s">
        <v>163</v>
      </c>
      <c r="W215" s="12" t="s">
        <v>343</v>
      </c>
      <c r="X215" s="12"/>
      <c r="Y215" s="12" t="s">
        <v>359</v>
      </c>
      <c r="Z215" s="12" t="s">
        <v>360</v>
      </c>
      <c r="AA215" s="12" t="s">
        <v>291</v>
      </c>
      <c r="AB215" s="12" t="s">
        <v>165</v>
      </c>
      <c r="AC215" s="12" t="str">
        <f>Table1[[#This Row],[Please select your county]]</f>
        <v>San Francisco County</v>
      </c>
      <c r="AD215" s="12">
        <f>COUNTIF(B:B,Table1[[#This Row],[Please select your county]])</f>
        <v>34</v>
      </c>
      <c r="AE215" s="12" t="str">
        <f>Table1[[#This Row],[Please select your county]]</f>
        <v>San Francisco County</v>
      </c>
      <c r="AF215" s="41">
        <f>COUNTIF(AE:AE,Table1[[#This Row],[County]])</f>
        <v>34</v>
      </c>
      <c r="AG215" s="12">
        <v>2025</v>
      </c>
    </row>
    <row r="216" spans="1:33" ht="15.5" x14ac:dyDescent="0.35">
      <c r="A216" s="12">
        <v>183</v>
      </c>
      <c r="B216" s="12" t="s">
        <v>149</v>
      </c>
      <c r="C216" s="12"/>
      <c r="D216" s="12"/>
      <c r="E216" s="12"/>
      <c r="F216" s="12"/>
      <c r="G216" s="12"/>
      <c r="H216" s="12"/>
      <c r="I216" s="12"/>
      <c r="J216" s="12"/>
      <c r="K216" s="10" t="s">
        <v>267</v>
      </c>
      <c r="L216" s="10"/>
      <c r="M216" s="10"/>
      <c r="N216" s="10"/>
      <c r="O216" s="12" t="s">
        <v>38</v>
      </c>
      <c r="P216" s="12">
        <v>450</v>
      </c>
      <c r="Q216" s="12" t="s">
        <v>281</v>
      </c>
      <c r="R216" s="12" t="s">
        <v>71</v>
      </c>
      <c r="S216" s="12" t="s">
        <v>275</v>
      </c>
      <c r="T216" s="12" t="s">
        <v>160</v>
      </c>
      <c r="U216" s="12" t="s">
        <v>160</v>
      </c>
      <c r="V216" s="12"/>
      <c r="W216" s="12"/>
      <c r="X216" s="12"/>
      <c r="Y216" s="12"/>
      <c r="Z216" s="12"/>
      <c r="AA216" s="12"/>
      <c r="AB216" s="12"/>
      <c r="AC216" s="12" t="str">
        <f>Table1[[#This Row],[Please select your county]]</f>
        <v>San Francisco County</v>
      </c>
      <c r="AD216" s="12">
        <f>COUNTIF(B:B,Table1[[#This Row],[Please select your county]])</f>
        <v>34</v>
      </c>
      <c r="AE216" s="12" t="str">
        <f>Table1[[#This Row],[Please select your county]]</f>
        <v>San Francisco County</v>
      </c>
      <c r="AF216" s="41">
        <f>COUNTIF(AE:AE,Table1[[#This Row],[County]])</f>
        <v>34</v>
      </c>
      <c r="AG216" s="12">
        <v>2025</v>
      </c>
    </row>
    <row r="217" spans="1:33" ht="15.5" x14ac:dyDescent="0.35">
      <c r="A217" s="12">
        <v>162</v>
      </c>
      <c r="B217" s="12" t="s">
        <v>149</v>
      </c>
      <c r="C217" s="12"/>
      <c r="D217" s="12"/>
      <c r="E217" s="12"/>
      <c r="F217" s="12"/>
      <c r="G217" s="12"/>
      <c r="H217" s="12"/>
      <c r="I217" s="12"/>
      <c r="J217" s="12"/>
      <c r="K217" s="10" t="s">
        <v>274</v>
      </c>
      <c r="L217" s="10"/>
      <c r="M217" s="10"/>
      <c r="N217" s="10"/>
      <c r="O217" s="12" t="s">
        <v>38</v>
      </c>
      <c r="P217" s="12">
        <v>500</v>
      </c>
      <c r="Q217" s="12" t="s">
        <v>281</v>
      </c>
      <c r="R217" s="12" t="s">
        <v>79</v>
      </c>
      <c r="S217" s="12" t="s">
        <v>272</v>
      </c>
      <c r="T217" s="12" t="s">
        <v>160</v>
      </c>
      <c r="U217" s="12" t="s">
        <v>159</v>
      </c>
      <c r="V217" s="12" t="s">
        <v>163</v>
      </c>
      <c r="W217" s="12" t="s">
        <v>299</v>
      </c>
      <c r="X217" s="12"/>
      <c r="Y217" s="12" t="s">
        <v>290</v>
      </c>
      <c r="Z217" s="12"/>
      <c r="AA217" s="12" t="s">
        <v>286</v>
      </c>
      <c r="AB217" s="12" t="s">
        <v>190</v>
      </c>
      <c r="AC217" s="12" t="str">
        <f>Table1[[#This Row],[Please select your county]]</f>
        <v>San Francisco County</v>
      </c>
      <c r="AD217" s="12">
        <f>COUNTIF(B:B,Table1[[#This Row],[Please select your county]])</f>
        <v>34</v>
      </c>
      <c r="AE217" s="12" t="str">
        <f>Table1[[#This Row],[Please select your county]]</f>
        <v>San Francisco County</v>
      </c>
      <c r="AF217" s="41">
        <f>COUNTIF(AE:AE,Table1[[#This Row],[County]])</f>
        <v>34</v>
      </c>
      <c r="AG217" s="12">
        <v>2025</v>
      </c>
    </row>
    <row r="218" spans="1:33" ht="15.5" x14ac:dyDescent="0.35">
      <c r="A218" s="12">
        <v>169</v>
      </c>
      <c r="B218" s="12" t="s">
        <v>149</v>
      </c>
      <c r="C218" s="12"/>
      <c r="D218" s="12"/>
      <c r="E218" s="12"/>
      <c r="F218" s="12"/>
      <c r="G218" s="12"/>
      <c r="H218" s="12"/>
      <c r="I218" s="12"/>
      <c r="J218" s="12"/>
      <c r="K218" s="10" t="s">
        <v>287</v>
      </c>
      <c r="L218" s="10"/>
      <c r="M218" s="10"/>
      <c r="N218" s="10"/>
      <c r="O218" s="12" t="s">
        <v>38</v>
      </c>
      <c r="P218" s="12">
        <v>500</v>
      </c>
      <c r="Q218" s="12" t="s">
        <v>281</v>
      </c>
      <c r="R218" s="12" t="s">
        <v>69</v>
      </c>
      <c r="S218" s="12" t="s">
        <v>322</v>
      </c>
      <c r="T218" s="12" t="s">
        <v>83</v>
      </c>
      <c r="U218" s="12" t="s">
        <v>160</v>
      </c>
      <c r="V218" s="12"/>
      <c r="W218" s="12"/>
      <c r="X218" s="12"/>
      <c r="Y218" s="12"/>
      <c r="Z218" s="12"/>
      <c r="AA218" s="12"/>
      <c r="AB218" s="12"/>
      <c r="AC218" s="12" t="str">
        <f>Table1[[#This Row],[Please select your county]]</f>
        <v>San Francisco County</v>
      </c>
      <c r="AD218" s="12">
        <f>COUNTIF(B:B,Table1[[#This Row],[Please select your county]])</f>
        <v>34</v>
      </c>
      <c r="AE218" s="12" t="str">
        <f>Table1[[#This Row],[Please select your county]]</f>
        <v>San Francisco County</v>
      </c>
      <c r="AF218" s="41">
        <f>COUNTIF(AE:AE,Table1[[#This Row],[County]])</f>
        <v>34</v>
      </c>
      <c r="AG218" s="12">
        <v>2025</v>
      </c>
    </row>
    <row r="219" spans="1:33" ht="15.5" x14ac:dyDescent="0.35">
      <c r="A219" s="12">
        <v>151</v>
      </c>
      <c r="B219" s="12" t="s">
        <v>149</v>
      </c>
      <c r="C219" s="12"/>
      <c r="D219" s="12"/>
      <c r="E219" s="12"/>
      <c r="F219" s="12"/>
      <c r="G219" s="12"/>
      <c r="H219" s="12"/>
      <c r="I219" s="12"/>
      <c r="J219" s="12"/>
      <c r="K219" s="10" t="s">
        <v>267</v>
      </c>
      <c r="L219" s="10"/>
      <c r="M219" s="10"/>
      <c r="N219" s="10"/>
      <c r="O219" s="12" t="s">
        <v>38</v>
      </c>
      <c r="P219" s="12">
        <v>500</v>
      </c>
      <c r="Q219" s="12" t="s">
        <v>281</v>
      </c>
      <c r="R219" s="12" t="s">
        <v>71</v>
      </c>
      <c r="S219" s="12" t="s">
        <v>275</v>
      </c>
      <c r="T219" s="12" t="s">
        <v>83</v>
      </c>
      <c r="U219" s="12" t="s">
        <v>160</v>
      </c>
      <c r="V219" s="12"/>
      <c r="W219" s="12"/>
      <c r="X219" s="12"/>
      <c r="Y219" s="12"/>
      <c r="Z219" s="12"/>
      <c r="AA219" s="12"/>
      <c r="AB219" s="12"/>
      <c r="AC219" s="12" t="str">
        <f>Table1[[#This Row],[Please select your county]]</f>
        <v>San Francisco County</v>
      </c>
      <c r="AD219" s="12">
        <f>COUNTIF(B:B,Table1[[#This Row],[Please select your county]])</f>
        <v>34</v>
      </c>
      <c r="AE219" s="12" t="str">
        <f>Table1[[#This Row],[Please select your county]]</f>
        <v>San Francisco County</v>
      </c>
      <c r="AF219" s="41">
        <f>COUNTIF(AE:AE,Table1[[#This Row],[County]])</f>
        <v>34</v>
      </c>
      <c r="AG219" s="12">
        <v>2025</v>
      </c>
    </row>
    <row r="220" spans="1:33" ht="15.5" x14ac:dyDescent="0.35">
      <c r="A220" s="12">
        <v>391</v>
      </c>
      <c r="B220" s="12" t="s">
        <v>149</v>
      </c>
      <c r="C220" s="12"/>
      <c r="D220" s="12"/>
      <c r="E220" s="12"/>
      <c r="F220" s="12"/>
      <c r="G220" s="12"/>
      <c r="H220" s="12"/>
      <c r="I220" s="12"/>
      <c r="J220" s="12"/>
      <c r="K220" s="10" t="s">
        <v>267</v>
      </c>
      <c r="L220" s="10" t="s">
        <v>312</v>
      </c>
      <c r="M220" s="10" t="s">
        <v>269</v>
      </c>
      <c r="N220" s="10" t="s">
        <v>288</v>
      </c>
      <c r="O220" s="12" t="s">
        <v>38</v>
      </c>
      <c r="P220" s="12">
        <v>500</v>
      </c>
      <c r="Q220" s="12" t="s">
        <v>281</v>
      </c>
      <c r="R220" s="12" t="s">
        <v>71</v>
      </c>
      <c r="S220" s="12" t="s">
        <v>304</v>
      </c>
      <c r="T220" s="12" t="s">
        <v>160</v>
      </c>
      <c r="U220" s="12" t="s">
        <v>160</v>
      </c>
      <c r="V220" s="12"/>
      <c r="W220" s="12"/>
      <c r="X220" s="12"/>
      <c r="Y220" s="12"/>
      <c r="Z220" s="12"/>
      <c r="AA220" s="12"/>
      <c r="AB220" s="12"/>
      <c r="AC220" s="12" t="str">
        <f>Table1[[#This Row],[Please select your county]]</f>
        <v>San Francisco County</v>
      </c>
      <c r="AD220" s="12">
        <f>COUNTIF(B:B,Table1[[#This Row],[Please select your county]])</f>
        <v>34</v>
      </c>
      <c r="AE220" s="12" t="str">
        <f>Table1[[#This Row],[Please select your county]]</f>
        <v>San Francisco County</v>
      </c>
      <c r="AF220" s="41">
        <f>COUNTIF(AE:AE,Table1[[#This Row],[County]])</f>
        <v>34</v>
      </c>
      <c r="AG220" s="12">
        <v>2025</v>
      </c>
    </row>
    <row r="221" spans="1:33" ht="15.5" x14ac:dyDescent="0.35">
      <c r="A221" s="12">
        <v>172</v>
      </c>
      <c r="B221" s="12" t="s">
        <v>149</v>
      </c>
      <c r="C221" s="12"/>
      <c r="D221" s="12"/>
      <c r="E221" s="12"/>
      <c r="F221" s="12"/>
      <c r="G221" s="12"/>
      <c r="H221" s="12"/>
      <c r="I221" s="12"/>
      <c r="J221" s="12"/>
      <c r="K221" s="10" t="s">
        <v>267</v>
      </c>
      <c r="L221" s="10"/>
      <c r="M221" s="10"/>
      <c r="N221" s="10"/>
      <c r="O221" s="12" t="s">
        <v>38</v>
      </c>
      <c r="P221" s="12">
        <v>550</v>
      </c>
      <c r="Q221" s="12" t="s">
        <v>281</v>
      </c>
      <c r="R221" s="12" t="s">
        <v>71</v>
      </c>
      <c r="S221" s="12" t="s">
        <v>275</v>
      </c>
      <c r="T221" s="12" t="s">
        <v>159</v>
      </c>
      <c r="U221" s="12" t="s">
        <v>159</v>
      </c>
      <c r="V221" s="12" t="s">
        <v>164</v>
      </c>
      <c r="W221" s="12" t="s">
        <v>289</v>
      </c>
      <c r="X221" s="12"/>
      <c r="Y221" s="12" t="s">
        <v>290</v>
      </c>
      <c r="Z221" s="12"/>
      <c r="AA221" s="12" t="s">
        <v>295</v>
      </c>
      <c r="AB221" s="12" t="s">
        <v>190</v>
      </c>
      <c r="AC221" s="12" t="str">
        <f>Table1[[#This Row],[Please select your county]]</f>
        <v>San Francisco County</v>
      </c>
      <c r="AD221" s="12">
        <f>COUNTIF(B:B,Table1[[#This Row],[Please select your county]])</f>
        <v>34</v>
      </c>
      <c r="AE221" s="12" t="str">
        <f>Table1[[#This Row],[Please select your county]]</f>
        <v>San Francisco County</v>
      </c>
      <c r="AF221" s="41">
        <f>COUNTIF(AE:AE,Table1[[#This Row],[County]])</f>
        <v>34</v>
      </c>
      <c r="AG221" s="12">
        <v>2025</v>
      </c>
    </row>
    <row r="222" spans="1:33" ht="15.5" x14ac:dyDescent="0.35">
      <c r="A222" s="12">
        <v>156</v>
      </c>
      <c r="B222" s="12" t="s">
        <v>149</v>
      </c>
      <c r="C222" s="12"/>
      <c r="D222" s="12"/>
      <c r="E222" s="12"/>
      <c r="F222" s="12"/>
      <c r="G222" s="12"/>
      <c r="H222" s="12"/>
      <c r="I222" s="12"/>
      <c r="J222" s="12"/>
      <c r="K222" s="10" t="s">
        <v>267</v>
      </c>
      <c r="L222" s="10"/>
      <c r="M222" s="10"/>
      <c r="N222" s="10"/>
      <c r="O222" s="12" t="s">
        <v>38</v>
      </c>
      <c r="P222" s="12">
        <v>575</v>
      </c>
      <c r="Q222" s="12" t="s">
        <v>281</v>
      </c>
      <c r="R222" s="12" t="s">
        <v>72</v>
      </c>
      <c r="S222" s="12" t="s">
        <v>276</v>
      </c>
      <c r="T222" s="12" t="s">
        <v>83</v>
      </c>
      <c r="U222" s="12" t="s">
        <v>159</v>
      </c>
      <c r="V222" s="12" t="s">
        <v>162</v>
      </c>
      <c r="W222" s="12" t="s">
        <v>289</v>
      </c>
      <c r="X222" s="12"/>
      <c r="Y222" s="12" t="s">
        <v>290</v>
      </c>
      <c r="Z222" s="12"/>
      <c r="AA222" s="12" t="s">
        <v>291</v>
      </c>
      <c r="AB222" s="12" t="s">
        <v>165</v>
      </c>
      <c r="AC222" s="12" t="str">
        <f>Table1[[#This Row],[Please select your county]]</f>
        <v>San Francisco County</v>
      </c>
      <c r="AD222" s="12">
        <f>COUNTIF(B:B,Table1[[#This Row],[Please select your county]])</f>
        <v>34</v>
      </c>
      <c r="AE222" s="12" t="str">
        <f>Table1[[#This Row],[Please select your county]]</f>
        <v>San Francisco County</v>
      </c>
      <c r="AF222" s="41">
        <f>COUNTIF(AE:AE,Table1[[#This Row],[County]])</f>
        <v>34</v>
      </c>
      <c r="AG222" s="12">
        <v>2025</v>
      </c>
    </row>
    <row r="223" spans="1:33" ht="15.5" x14ac:dyDescent="0.35">
      <c r="A223" s="12">
        <v>154</v>
      </c>
      <c r="B223" s="12" t="s">
        <v>149</v>
      </c>
      <c r="C223" s="12"/>
      <c r="D223" s="12"/>
      <c r="E223" s="12"/>
      <c r="F223" s="12"/>
      <c r="G223" s="12"/>
      <c r="H223" s="12"/>
      <c r="I223" s="12"/>
      <c r="J223" s="12"/>
      <c r="K223" s="10" t="s">
        <v>294</v>
      </c>
      <c r="L223" s="10"/>
      <c r="M223" s="10"/>
      <c r="N223" s="10"/>
      <c r="O223" s="12" t="s">
        <v>38</v>
      </c>
      <c r="P223" s="12">
        <v>600</v>
      </c>
      <c r="Q223" s="12" t="s">
        <v>295</v>
      </c>
      <c r="R223" s="12" t="s">
        <v>71</v>
      </c>
      <c r="S223" s="12" t="s">
        <v>284</v>
      </c>
      <c r="T223" s="12" t="s">
        <v>159</v>
      </c>
      <c r="U223" s="12" t="s">
        <v>160</v>
      </c>
      <c r="V223" s="12"/>
      <c r="W223" s="12"/>
      <c r="X223" s="12"/>
      <c r="Y223" s="12"/>
      <c r="Z223" s="12"/>
      <c r="AA223" s="12"/>
      <c r="AB223" s="12"/>
      <c r="AC223" s="12" t="str">
        <f>Table1[[#This Row],[Please select your county]]</f>
        <v>San Francisco County</v>
      </c>
      <c r="AD223" s="12">
        <f>COUNTIF(B:B,Table1[[#This Row],[Please select your county]])</f>
        <v>34</v>
      </c>
      <c r="AE223" s="12" t="str">
        <f>Table1[[#This Row],[Please select your county]]</f>
        <v>San Francisco County</v>
      </c>
      <c r="AF223" s="41">
        <f>COUNTIF(AE:AE,Table1[[#This Row],[County]])</f>
        <v>34</v>
      </c>
      <c r="AG223" s="12">
        <v>2025</v>
      </c>
    </row>
    <row r="224" spans="1:33" ht="31" x14ac:dyDescent="0.35">
      <c r="A224" s="12">
        <v>167</v>
      </c>
      <c r="B224" s="12" t="s">
        <v>149</v>
      </c>
      <c r="C224" s="12"/>
      <c r="D224" s="12"/>
      <c r="E224" s="12"/>
      <c r="F224" s="12"/>
      <c r="G224" s="12"/>
      <c r="H224" s="12"/>
      <c r="I224" s="12"/>
      <c r="J224" s="12"/>
      <c r="K224" s="10" t="s">
        <v>308</v>
      </c>
      <c r="L224" s="10"/>
      <c r="M224" s="10"/>
      <c r="N224" s="10"/>
      <c r="O224" s="12" t="s">
        <v>38</v>
      </c>
      <c r="P224" s="12">
        <v>650</v>
      </c>
      <c r="Q224" s="12" t="s">
        <v>295</v>
      </c>
      <c r="R224" s="12" t="s">
        <v>71</v>
      </c>
      <c r="S224" s="12" t="s">
        <v>298</v>
      </c>
      <c r="T224" s="12" t="s">
        <v>83</v>
      </c>
      <c r="U224" s="12" t="s">
        <v>160</v>
      </c>
      <c r="V224" s="12"/>
      <c r="W224" s="12"/>
      <c r="X224" s="12"/>
      <c r="Y224" s="12"/>
      <c r="Z224" s="12"/>
      <c r="AA224" s="12"/>
      <c r="AB224" s="12"/>
      <c r="AC224" s="12" t="str">
        <f>Table1[[#This Row],[Please select your county]]</f>
        <v>San Francisco County</v>
      </c>
      <c r="AD224" s="12">
        <f>COUNTIF(B:B,Table1[[#This Row],[Please select your county]])</f>
        <v>34</v>
      </c>
      <c r="AE224" s="12" t="str">
        <f>Table1[[#This Row],[Please select your county]]</f>
        <v>San Francisco County</v>
      </c>
      <c r="AF224" s="41">
        <f>COUNTIF(AE:AE,Table1[[#This Row],[County]])</f>
        <v>34</v>
      </c>
      <c r="AG224" s="12">
        <v>2025</v>
      </c>
    </row>
    <row r="225" spans="1:33" ht="15.5" x14ac:dyDescent="0.35">
      <c r="A225" s="12">
        <v>160</v>
      </c>
      <c r="B225" s="12" t="s">
        <v>149</v>
      </c>
      <c r="C225" s="12"/>
      <c r="D225" s="12"/>
      <c r="E225" s="12"/>
      <c r="F225" s="12"/>
      <c r="G225" s="12"/>
      <c r="H225" s="12"/>
      <c r="I225" s="12"/>
      <c r="J225" s="12"/>
      <c r="K225" s="10" t="s">
        <v>267</v>
      </c>
      <c r="L225" s="10"/>
      <c r="M225" s="10"/>
      <c r="N225" s="10"/>
      <c r="O225" s="12" t="s">
        <v>38</v>
      </c>
      <c r="P225" s="12">
        <v>680</v>
      </c>
      <c r="Q225" s="12" t="s">
        <v>295</v>
      </c>
      <c r="R225" s="12" t="s">
        <v>71</v>
      </c>
      <c r="S225" s="12" t="s">
        <v>304</v>
      </c>
      <c r="T225" s="12" t="s">
        <v>160</v>
      </c>
      <c r="U225" s="12" t="s">
        <v>160</v>
      </c>
      <c r="V225" s="12"/>
      <c r="W225" s="12"/>
      <c r="X225" s="12"/>
      <c r="Y225" s="12"/>
      <c r="Z225" s="12"/>
      <c r="AA225" s="12"/>
      <c r="AB225" s="12"/>
      <c r="AC225" s="12" t="str">
        <f>Table1[[#This Row],[Please select your county]]</f>
        <v>San Francisco County</v>
      </c>
      <c r="AD225" s="12">
        <f>COUNTIF(B:B,Table1[[#This Row],[Please select your county]])</f>
        <v>34</v>
      </c>
      <c r="AE225" s="12" t="str">
        <f>Table1[[#This Row],[Please select your county]]</f>
        <v>San Francisco County</v>
      </c>
      <c r="AF225" s="41">
        <f>COUNTIF(AE:AE,Table1[[#This Row],[County]])</f>
        <v>34</v>
      </c>
      <c r="AG225" s="12">
        <v>2025</v>
      </c>
    </row>
    <row r="226" spans="1:33" ht="15.5" x14ac:dyDescent="0.35">
      <c r="A226" s="12">
        <v>148</v>
      </c>
      <c r="B226" s="12" t="s">
        <v>149</v>
      </c>
      <c r="C226" s="12"/>
      <c r="D226" s="12"/>
      <c r="E226" s="12"/>
      <c r="F226" s="12"/>
      <c r="G226" s="12"/>
      <c r="H226" s="12"/>
      <c r="I226" s="12"/>
      <c r="J226" s="12"/>
      <c r="K226" s="10" t="s">
        <v>274</v>
      </c>
      <c r="L226" s="10"/>
      <c r="M226" s="10"/>
      <c r="N226" s="10"/>
      <c r="O226" s="12" t="s">
        <v>38</v>
      </c>
      <c r="P226" s="12">
        <v>700</v>
      </c>
      <c r="Q226" s="12" t="s">
        <v>281</v>
      </c>
      <c r="R226" s="12" t="s">
        <v>69</v>
      </c>
      <c r="S226" s="12" t="s">
        <v>276</v>
      </c>
      <c r="T226" s="12" t="s">
        <v>159</v>
      </c>
      <c r="U226" s="12" t="s">
        <v>160</v>
      </c>
      <c r="V226" s="12"/>
      <c r="W226" s="12"/>
      <c r="X226" s="12"/>
      <c r="Y226" s="12"/>
      <c r="Z226" s="12"/>
      <c r="AA226" s="12"/>
      <c r="AB226" s="12"/>
      <c r="AC226" s="12" t="str">
        <f>Table1[[#This Row],[Please select your county]]</f>
        <v>San Francisco County</v>
      </c>
      <c r="AD226" s="12">
        <f>COUNTIF(B:B,Table1[[#This Row],[Please select your county]])</f>
        <v>34</v>
      </c>
      <c r="AE226" s="12" t="str">
        <f>Table1[[#This Row],[Please select your county]]</f>
        <v>San Francisco County</v>
      </c>
      <c r="AF226" s="41">
        <f>COUNTIF(AE:AE,Table1[[#This Row],[County]])</f>
        <v>34</v>
      </c>
      <c r="AG226" s="12">
        <v>2025</v>
      </c>
    </row>
    <row r="227" spans="1:33" ht="15.5" x14ac:dyDescent="0.35">
      <c r="A227" s="12">
        <v>159</v>
      </c>
      <c r="B227" s="12" t="s">
        <v>149</v>
      </c>
      <c r="C227" s="12"/>
      <c r="D227" s="12"/>
      <c r="E227" s="12"/>
      <c r="F227" s="12"/>
      <c r="G227" s="12"/>
      <c r="H227" s="12"/>
      <c r="I227" s="12"/>
      <c r="J227" s="12"/>
      <c r="K227" s="10" t="s">
        <v>267</v>
      </c>
      <c r="L227" s="10"/>
      <c r="M227" s="10"/>
      <c r="N227" s="10"/>
      <c r="O227" s="12" t="s">
        <v>38</v>
      </c>
      <c r="P227" s="12">
        <v>700</v>
      </c>
      <c r="Q227" s="12" t="s">
        <v>295</v>
      </c>
      <c r="R227" s="12" t="s">
        <v>70</v>
      </c>
      <c r="S227" s="12" t="s">
        <v>361</v>
      </c>
      <c r="T227" s="12" t="s">
        <v>160</v>
      </c>
      <c r="U227" s="12" t="s">
        <v>160</v>
      </c>
      <c r="V227" s="12"/>
      <c r="W227" s="12"/>
      <c r="X227" s="12"/>
      <c r="Y227" s="12"/>
      <c r="Z227" s="12"/>
      <c r="AA227" s="12"/>
      <c r="AB227" s="12"/>
      <c r="AC227" s="12" t="str">
        <f>Table1[[#This Row],[Please select your county]]</f>
        <v>San Francisco County</v>
      </c>
      <c r="AD227" s="12">
        <f>COUNTIF(B:B,Table1[[#This Row],[Please select your county]])</f>
        <v>34</v>
      </c>
      <c r="AE227" s="12" t="str">
        <f>Table1[[#This Row],[Please select your county]]</f>
        <v>San Francisco County</v>
      </c>
      <c r="AF227" s="41">
        <f>COUNTIF(AE:AE,Table1[[#This Row],[County]])</f>
        <v>34</v>
      </c>
      <c r="AG227" s="12">
        <v>2025</v>
      </c>
    </row>
    <row r="228" spans="1:33" ht="15.5" x14ac:dyDescent="0.35">
      <c r="A228" s="12">
        <v>168</v>
      </c>
      <c r="B228" s="12" t="s">
        <v>149</v>
      </c>
      <c r="C228" s="12"/>
      <c r="D228" s="12"/>
      <c r="E228" s="12"/>
      <c r="F228" s="12"/>
      <c r="G228" s="12"/>
      <c r="H228" s="12"/>
      <c r="I228" s="12"/>
      <c r="J228" s="12"/>
      <c r="K228" s="10" t="s">
        <v>267</v>
      </c>
      <c r="L228" s="10"/>
      <c r="M228" s="10"/>
      <c r="N228" s="10"/>
      <c r="O228" s="12" t="s">
        <v>38</v>
      </c>
      <c r="P228" s="12">
        <v>700</v>
      </c>
      <c r="Q228" s="12" t="s">
        <v>295</v>
      </c>
      <c r="R228" s="12" t="s">
        <v>71</v>
      </c>
      <c r="S228" s="12" t="s">
        <v>276</v>
      </c>
      <c r="T228" s="12" t="s">
        <v>160</v>
      </c>
      <c r="U228" s="12" t="s">
        <v>159</v>
      </c>
      <c r="V228" s="12" t="s">
        <v>162</v>
      </c>
      <c r="W228" s="12" t="s">
        <v>318</v>
      </c>
      <c r="X228" s="12"/>
      <c r="Y228" s="12" t="s">
        <v>290</v>
      </c>
      <c r="Z228" s="12"/>
      <c r="AA228" s="12" t="s">
        <v>300</v>
      </c>
      <c r="AB228" s="12" t="s">
        <v>190</v>
      </c>
      <c r="AC228" s="12" t="str">
        <f>Table1[[#This Row],[Please select your county]]</f>
        <v>San Francisco County</v>
      </c>
      <c r="AD228" s="12">
        <f>COUNTIF(B:B,Table1[[#This Row],[Please select your county]])</f>
        <v>34</v>
      </c>
      <c r="AE228" s="12" t="str">
        <f>Table1[[#This Row],[Please select your county]]</f>
        <v>San Francisco County</v>
      </c>
      <c r="AF228" s="41">
        <f>COUNTIF(AE:AE,Table1[[#This Row],[County]])</f>
        <v>34</v>
      </c>
      <c r="AG228" s="12">
        <v>2025</v>
      </c>
    </row>
    <row r="229" spans="1:33" ht="15.5" x14ac:dyDescent="0.35">
      <c r="A229" s="12">
        <v>181</v>
      </c>
      <c r="B229" s="12" t="s">
        <v>149</v>
      </c>
      <c r="C229" s="12"/>
      <c r="D229" s="12"/>
      <c r="E229" s="12"/>
      <c r="F229" s="12"/>
      <c r="G229" s="12"/>
      <c r="H229" s="12"/>
      <c r="I229" s="12"/>
      <c r="J229" s="12"/>
      <c r="K229" s="10" t="s">
        <v>274</v>
      </c>
      <c r="L229" s="10"/>
      <c r="M229" s="10"/>
      <c r="N229" s="10"/>
      <c r="O229" s="12" t="s">
        <v>38</v>
      </c>
      <c r="P229" s="12">
        <v>750</v>
      </c>
      <c r="Q229" s="12" t="s">
        <v>281</v>
      </c>
      <c r="R229" s="12" t="s">
        <v>72</v>
      </c>
      <c r="S229" s="12" t="s">
        <v>362</v>
      </c>
      <c r="T229" s="12" t="s">
        <v>160</v>
      </c>
      <c r="U229" s="12" t="s">
        <v>159</v>
      </c>
      <c r="V229" s="12" t="s">
        <v>164</v>
      </c>
      <c r="W229" s="12" t="s">
        <v>299</v>
      </c>
      <c r="X229" s="12"/>
      <c r="Y229" s="12" t="s">
        <v>290</v>
      </c>
      <c r="Z229" s="12"/>
      <c r="AA229" s="12" t="s">
        <v>300</v>
      </c>
      <c r="AB229" s="12" t="s">
        <v>188</v>
      </c>
      <c r="AC229" s="12" t="str">
        <f>Table1[[#This Row],[Please select your county]]</f>
        <v>San Francisco County</v>
      </c>
      <c r="AD229" s="12">
        <f>COUNTIF(B:B,Table1[[#This Row],[Please select your county]])</f>
        <v>34</v>
      </c>
      <c r="AE229" s="12" t="str">
        <f>Table1[[#This Row],[Please select your county]]</f>
        <v>San Francisco County</v>
      </c>
      <c r="AF229" s="41">
        <f>COUNTIF(AE:AE,Table1[[#This Row],[County]])</f>
        <v>34</v>
      </c>
      <c r="AG229" s="12">
        <v>2025</v>
      </c>
    </row>
    <row r="230" spans="1:33" ht="15.5" x14ac:dyDescent="0.35">
      <c r="A230" s="12">
        <v>146</v>
      </c>
      <c r="B230" s="12" t="s">
        <v>149</v>
      </c>
      <c r="C230" s="12"/>
      <c r="D230" s="12"/>
      <c r="E230" s="12"/>
      <c r="F230" s="12"/>
      <c r="G230" s="12"/>
      <c r="H230" s="12"/>
      <c r="I230" s="12"/>
      <c r="J230" s="12"/>
      <c r="K230" s="10" t="s">
        <v>274</v>
      </c>
      <c r="L230" s="10"/>
      <c r="M230" s="10"/>
      <c r="N230" s="10"/>
      <c r="O230" s="12" t="s">
        <v>38</v>
      </c>
      <c r="P230" s="12">
        <v>800</v>
      </c>
      <c r="Q230" s="12" t="s">
        <v>295</v>
      </c>
      <c r="R230" s="12" t="s">
        <v>79</v>
      </c>
      <c r="S230" s="12" t="s">
        <v>284</v>
      </c>
      <c r="T230" s="12" t="s">
        <v>83</v>
      </c>
      <c r="U230" s="12" t="s">
        <v>160</v>
      </c>
      <c r="V230" s="12"/>
      <c r="W230" s="12"/>
      <c r="X230" s="12"/>
      <c r="Y230" s="12"/>
      <c r="Z230" s="12"/>
      <c r="AA230" s="12"/>
      <c r="AB230" s="12"/>
      <c r="AC230" s="12" t="str">
        <f>Table1[[#This Row],[Please select your county]]</f>
        <v>San Francisco County</v>
      </c>
      <c r="AD230" s="12">
        <f>COUNTIF(B:B,Table1[[#This Row],[Please select your county]])</f>
        <v>34</v>
      </c>
      <c r="AE230" s="12" t="str">
        <f>Table1[[#This Row],[Please select your county]]</f>
        <v>San Francisco County</v>
      </c>
      <c r="AF230" s="41">
        <f>COUNTIF(AE:AE,Table1[[#This Row],[County]])</f>
        <v>34</v>
      </c>
      <c r="AG230" s="12">
        <v>2025</v>
      </c>
    </row>
    <row r="231" spans="1:33" ht="31" x14ac:dyDescent="0.35">
      <c r="A231" s="12">
        <v>173</v>
      </c>
      <c r="B231" s="12" t="s">
        <v>149</v>
      </c>
      <c r="C231" s="12"/>
      <c r="D231" s="12"/>
      <c r="E231" s="12"/>
      <c r="F231" s="12"/>
      <c r="G231" s="12"/>
      <c r="H231" s="12"/>
      <c r="I231" s="12"/>
      <c r="J231" s="12"/>
      <c r="K231" s="10" t="s">
        <v>331</v>
      </c>
      <c r="L231" s="10"/>
      <c r="M231" s="10"/>
      <c r="N231" s="10"/>
      <c r="O231" s="12" t="s">
        <v>38</v>
      </c>
      <c r="P231" s="12">
        <v>800</v>
      </c>
      <c r="Q231" s="12" t="s">
        <v>295</v>
      </c>
      <c r="R231" s="12" t="s">
        <v>165</v>
      </c>
      <c r="S231" s="12" t="s">
        <v>276</v>
      </c>
      <c r="T231" s="12" t="s">
        <v>159</v>
      </c>
      <c r="U231" s="12" t="s">
        <v>160</v>
      </c>
      <c r="V231" s="12"/>
      <c r="W231" s="12"/>
      <c r="X231" s="12"/>
      <c r="Y231" s="12"/>
      <c r="Z231" s="12"/>
      <c r="AA231" s="12"/>
      <c r="AB231" s="12"/>
      <c r="AC231" s="12" t="str">
        <f>Table1[[#This Row],[Please select your county]]</f>
        <v>San Francisco County</v>
      </c>
      <c r="AD231" s="12">
        <f>COUNTIF(B:B,Table1[[#This Row],[Please select your county]])</f>
        <v>34</v>
      </c>
      <c r="AE231" s="12" t="str">
        <f>Table1[[#This Row],[Please select your county]]</f>
        <v>San Francisco County</v>
      </c>
      <c r="AF231" s="41">
        <f>COUNTIF(AE:AE,Table1[[#This Row],[County]])</f>
        <v>34</v>
      </c>
      <c r="AG231" s="12">
        <v>2025</v>
      </c>
    </row>
    <row r="232" spans="1:33" ht="15.5" x14ac:dyDescent="0.35">
      <c r="A232" s="12">
        <v>152</v>
      </c>
      <c r="B232" s="12" t="s">
        <v>149</v>
      </c>
      <c r="C232" s="12"/>
      <c r="D232" s="12"/>
      <c r="E232" s="12"/>
      <c r="F232" s="12"/>
      <c r="G232" s="12"/>
      <c r="H232" s="12"/>
      <c r="I232" s="12"/>
      <c r="J232" s="12"/>
      <c r="K232" s="10" t="s">
        <v>267</v>
      </c>
      <c r="L232" s="10"/>
      <c r="M232" s="10"/>
      <c r="N232" s="10"/>
      <c r="O232" s="12" t="s">
        <v>38</v>
      </c>
      <c r="P232" s="12">
        <v>800</v>
      </c>
      <c r="Q232" s="12" t="s">
        <v>295</v>
      </c>
      <c r="R232" s="12" t="s">
        <v>70</v>
      </c>
      <c r="S232" s="12" t="s">
        <v>284</v>
      </c>
      <c r="T232" s="12" t="s">
        <v>160</v>
      </c>
      <c r="U232" s="12" t="s">
        <v>159</v>
      </c>
      <c r="V232" s="12" t="s">
        <v>162</v>
      </c>
      <c r="W232" s="12" t="s">
        <v>343</v>
      </c>
      <c r="X232" s="12"/>
      <c r="Y232" s="12" t="s">
        <v>285</v>
      </c>
      <c r="Z232" s="12"/>
      <c r="AA232" s="12" t="s">
        <v>300</v>
      </c>
      <c r="AB232" s="12" t="s">
        <v>186</v>
      </c>
      <c r="AC232" s="12" t="str">
        <f>Table1[[#This Row],[Please select your county]]</f>
        <v>San Francisco County</v>
      </c>
      <c r="AD232" s="12">
        <f>COUNTIF(B:B,Table1[[#This Row],[Please select your county]])</f>
        <v>34</v>
      </c>
      <c r="AE232" s="12" t="str">
        <f>Table1[[#This Row],[Please select your county]]</f>
        <v>San Francisco County</v>
      </c>
      <c r="AF232" s="41">
        <f>COUNTIF(AE:AE,Table1[[#This Row],[County]])</f>
        <v>34</v>
      </c>
      <c r="AG232" s="12">
        <v>2025</v>
      </c>
    </row>
    <row r="233" spans="1:33" ht="15.5" x14ac:dyDescent="0.35">
      <c r="A233" s="12">
        <v>184</v>
      </c>
      <c r="B233" s="12" t="s">
        <v>149</v>
      </c>
      <c r="C233" s="12"/>
      <c r="D233" s="12"/>
      <c r="E233" s="12"/>
      <c r="F233" s="12"/>
      <c r="G233" s="12"/>
      <c r="H233" s="12"/>
      <c r="I233" s="12"/>
      <c r="J233" s="12"/>
      <c r="K233" s="10" t="s">
        <v>274</v>
      </c>
      <c r="L233" s="10"/>
      <c r="M233" s="10"/>
      <c r="N233" s="10"/>
      <c r="O233" s="12" t="s">
        <v>38</v>
      </c>
      <c r="P233" s="12">
        <v>850</v>
      </c>
      <c r="Q233" s="12" t="s">
        <v>295</v>
      </c>
      <c r="R233" s="12" t="s">
        <v>79</v>
      </c>
      <c r="S233" s="12" t="s">
        <v>272</v>
      </c>
      <c r="T233" s="12" t="s">
        <v>160</v>
      </c>
      <c r="U233" s="12" t="s">
        <v>159</v>
      </c>
      <c r="V233" s="12" t="s">
        <v>163</v>
      </c>
      <c r="W233" s="12" t="s">
        <v>353</v>
      </c>
      <c r="X233" s="12"/>
      <c r="Y233" s="12" t="s">
        <v>285</v>
      </c>
      <c r="Z233" s="12"/>
      <c r="AA233" s="12" t="s">
        <v>300</v>
      </c>
      <c r="AB233" s="12" t="s">
        <v>190</v>
      </c>
      <c r="AC233" s="12" t="str">
        <f>Table1[[#This Row],[Please select your county]]</f>
        <v>San Francisco County</v>
      </c>
      <c r="AD233" s="12">
        <f>COUNTIF(B:B,Table1[[#This Row],[Please select your county]])</f>
        <v>34</v>
      </c>
      <c r="AE233" s="12" t="str">
        <f>Table1[[#This Row],[Please select your county]]</f>
        <v>San Francisco County</v>
      </c>
      <c r="AF233" s="41">
        <f>COUNTIF(AE:AE,Table1[[#This Row],[County]])</f>
        <v>34</v>
      </c>
      <c r="AG233" s="12">
        <v>2025</v>
      </c>
    </row>
    <row r="234" spans="1:33" ht="15.5" x14ac:dyDescent="0.35">
      <c r="A234" s="12">
        <v>163</v>
      </c>
      <c r="B234" s="12" t="s">
        <v>149</v>
      </c>
      <c r="C234" s="12"/>
      <c r="D234" s="12"/>
      <c r="E234" s="12"/>
      <c r="F234" s="12"/>
      <c r="G234" s="12"/>
      <c r="H234" s="12"/>
      <c r="I234" s="12"/>
      <c r="J234" s="12"/>
      <c r="K234" s="10" t="s">
        <v>321</v>
      </c>
      <c r="L234" s="10"/>
      <c r="M234" s="10"/>
      <c r="N234" s="10"/>
      <c r="O234" s="12" t="s">
        <v>38</v>
      </c>
      <c r="P234" s="12">
        <v>900</v>
      </c>
      <c r="Q234" s="12" t="s">
        <v>295</v>
      </c>
      <c r="R234" s="12" t="s">
        <v>70</v>
      </c>
      <c r="S234" s="12" t="s">
        <v>284</v>
      </c>
      <c r="T234" s="12" t="s">
        <v>160</v>
      </c>
      <c r="U234" s="12" t="s">
        <v>160</v>
      </c>
      <c r="V234" s="12"/>
      <c r="W234" s="12"/>
      <c r="X234" s="12"/>
      <c r="Y234" s="12"/>
      <c r="Z234" s="12"/>
      <c r="AA234" s="12"/>
      <c r="AB234" s="12"/>
      <c r="AC234" s="12" t="str">
        <f>Table1[[#This Row],[Please select your county]]</f>
        <v>San Francisco County</v>
      </c>
      <c r="AD234" s="12">
        <f>COUNTIF(B:B,Table1[[#This Row],[Please select your county]])</f>
        <v>34</v>
      </c>
      <c r="AE234" s="12" t="str">
        <f>Table1[[#This Row],[Please select your county]]</f>
        <v>San Francisco County</v>
      </c>
      <c r="AF234" s="41">
        <f>COUNTIF(AE:AE,Table1[[#This Row],[County]])</f>
        <v>34</v>
      </c>
      <c r="AG234" s="12">
        <v>2025</v>
      </c>
    </row>
    <row r="235" spans="1:33" ht="15.5" x14ac:dyDescent="0.35">
      <c r="A235" s="12">
        <v>176</v>
      </c>
      <c r="B235" s="12" t="s">
        <v>149</v>
      </c>
      <c r="C235" s="12"/>
      <c r="D235" s="12"/>
      <c r="E235" s="12"/>
      <c r="F235" s="12"/>
      <c r="G235" s="12"/>
      <c r="H235" s="12"/>
      <c r="I235" s="12"/>
      <c r="J235" s="12"/>
      <c r="K235" s="10" t="s">
        <v>267</v>
      </c>
      <c r="L235" s="10"/>
      <c r="M235" s="10"/>
      <c r="N235" s="10"/>
      <c r="O235" s="12" t="s">
        <v>38</v>
      </c>
      <c r="P235" s="12">
        <v>900</v>
      </c>
      <c r="Q235" s="12" t="s">
        <v>281</v>
      </c>
      <c r="R235" s="12" t="s">
        <v>71</v>
      </c>
      <c r="S235" s="12" t="s">
        <v>276</v>
      </c>
      <c r="T235" s="12" t="s">
        <v>160</v>
      </c>
      <c r="U235" s="12" t="s">
        <v>159</v>
      </c>
      <c r="V235" s="12" t="s">
        <v>164</v>
      </c>
      <c r="W235" s="12" t="s">
        <v>318</v>
      </c>
      <c r="X235" s="12"/>
      <c r="Y235" s="12" t="s">
        <v>323</v>
      </c>
      <c r="Z235" s="12"/>
      <c r="AA235" s="12" t="s">
        <v>295</v>
      </c>
      <c r="AB235" s="12" t="s">
        <v>190</v>
      </c>
      <c r="AC235" s="12" t="str">
        <f>Table1[[#This Row],[Please select your county]]</f>
        <v>San Francisco County</v>
      </c>
      <c r="AD235" s="12">
        <f>COUNTIF(B:B,Table1[[#This Row],[Please select your county]])</f>
        <v>34</v>
      </c>
      <c r="AE235" s="12" t="str">
        <f>Table1[[#This Row],[Please select your county]]</f>
        <v>San Francisco County</v>
      </c>
      <c r="AF235" s="41">
        <f>COUNTIF(AE:AE,Table1[[#This Row],[County]])</f>
        <v>34</v>
      </c>
      <c r="AG235" s="12">
        <v>2025</v>
      </c>
    </row>
    <row r="236" spans="1:33" ht="15.5" x14ac:dyDescent="0.35">
      <c r="A236" s="12">
        <v>178</v>
      </c>
      <c r="B236" s="12" t="s">
        <v>149</v>
      </c>
      <c r="C236" s="12"/>
      <c r="D236" s="12"/>
      <c r="E236" s="12"/>
      <c r="F236" s="12"/>
      <c r="G236" s="12"/>
      <c r="H236" s="12"/>
      <c r="I236" s="12"/>
      <c r="J236" s="12"/>
      <c r="K236" s="10" t="s">
        <v>274</v>
      </c>
      <c r="L236" s="10"/>
      <c r="M236" s="10"/>
      <c r="N236" s="10"/>
      <c r="O236" s="12" t="s">
        <v>38</v>
      </c>
      <c r="P236" s="12">
        <v>950</v>
      </c>
      <c r="Q236" s="12" t="s">
        <v>281</v>
      </c>
      <c r="R236" s="12" t="s">
        <v>73</v>
      </c>
      <c r="S236" s="12" t="s">
        <v>298</v>
      </c>
      <c r="T236" s="12" t="s">
        <v>83</v>
      </c>
      <c r="U236" s="12" t="s">
        <v>159</v>
      </c>
      <c r="V236" s="12" t="s">
        <v>163</v>
      </c>
      <c r="W236" s="12" t="s">
        <v>289</v>
      </c>
      <c r="X236" s="12"/>
      <c r="Y236" s="12" t="s">
        <v>290</v>
      </c>
      <c r="Z236" s="12"/>
      <c r="AA236" s="12" t="s">
        <v>295</v>
      </c>
      <c r="AB236" s="12" t="s">
        <v>190</v>
      </c>
      <c r="AC236" s="12" t="str">
        <f>Table1[[#This Row],[Please select your county]]</f>
        <v>San Francisco County</v>
      </c>
      <c r="AD236" s="12">
        <f>COUNTIF(B:B,Table1[[#This Row],[Please select your county]])</f>
        <v>34</v>
      </c>
      <c r="AE236" s="12" t="str">
        <f>Table1[[#This Row],[Please select your county]]</f>
        <v>San Francisco County</v>
      </c>
      <c r="AF236" s="41">
        <f>COUNTIF(AE:AE,Table1[[#This Row],[County]])</f>
        <v>34</v>
      </c>
      <c r="AG236" s="12">
        <v>2025</v>
      </c>
    </row>
    <row r="237" spans="1:33" ht="15.5" x14ac:dyDescent="0.35">
      <c r="A237" s="12">
        <v>145</v>
      </c>
      <c r="B237" s="12" t="s">
        <v>149</v>
      </c>
      <c r="C237" s="12"/>
      <c r="D237" s="12"/>
      <c r="E237" s="12"/>
      <c r="F237" s="12"/>
      <c r="G237" s="12"/>
      <c r="H237" s="12"/>
      <c r="I237" s="12"/>
      <c r="J237" s="12"/>
      <c r="K237" s="10" t="s">
        <v>274</v>
      </c>
      <c r="L237" s="10"/>
      <c r="M237" s="10"/>
      <c r="N237" s="10"/>
      <c r="O237" s="12" t="s">
        <v>38</v>
      </c>
      <c r="P237" s="12">
        <v>1000</v>
      </c>
      <c r="Q237" s="12" t="s">
        <v>295</v>
      </c>
      <c r="R237" s="12" t="s">
        <v>72</v>
      </c>
      <c r="S237" s="12" t="s">
        <v>304</v>
      </c>
      <c r="T237" s="12" t="s">
        <v>160</v>
      </c>
      <c r="U237" s="12" t="s">
        <v>160</v>
      </c>
      <c r="V237" s="12"/>
      <c r="W237" s="12"/>
      <c r="X237" s="12"/>
      <c r="Y237" s="12"/>
      <c r="Z237" s="12"/>
      <c r="AA237" s="12"/>
      <c r="AB237" s="12"/>
      <c r="AC237" s="12" t="str">
        <f>Table1[[#This Row],[Please select your county]]</f>
        <v>San Francisco County</v>
      </c>
      <c r="AD237" s="12">
        <f>COUNTIF(B:B,Table1[[#This Row],[Please select your county]])</f>
        <v>34</v>
      </c>
      <c r="AE237" s="12" t="str">
        <f>Table1[[#This Row],[Please select your county]]</f>
        <v>San Francisco County</v>
      </c>
      <c r="AF237" s="41">
        <f>COUNTIF(AE:AE,Table1[[#This Row],[County]])</f>
        <v>34</v>
      </c>
      <c r="AG237" s="12">
        <v>2025</v>
      </c>
    </row>
    <row r="238" spans="1:33" ht="15.5" x14ac:dyDescent="0.35">
      <c r="A238" s="12">
        <v>157</v>
      </c>
      <c r="B238" s="12" t="s">
        <v>149</v>
      </c>
      <c r="C238" s="12"/>
      <c r="D238" s="12"/>
      <c r="E238" s="12"/>
      <c r="F238" s="12"/>
      <c r="G238" s="12"/>
      <c r="H238" s="12"/>
      <c r="I238" s="12"/>
      <c r="J238" s="12"/>
      <c r="K238" s="10" t="s">
        <v>267</v>
      </c>
      <c r="L238" s="10"/>
      <c r="M238" s="10"/>
      <c r="N238" s="10"/>
      <c r="O238" s="12" t="s">
        <v>38</v>
      </c>
      <c r="P238" s="12">
        <v>1000</v>
      </c>
      <c r="Q238" s="12" t="s">
        <v>295</v>
      </c>
      <c r="R238" s="12" t="s">
        <v>72</v>
      </c>
      <c r="S238" s="12" t="s">
        <v>304</v>
      </c>
      <c r="T238" s="12" t="s">
        <v>160</v>
      </c>
      <c r="U238" s="12" t="s">
        <v>159</v>
      </c>
      <c r="V238" s="12"/>
      <c r="W238" s="12" t="s">
        <v>289</v>
      </c>
      <c r="X238" s="12"/>
      <c r="Y238" s="12" t="s">
        <v>290</v>
      </c>
      <c r="Z238" s="12"/>
      <c r="AA238" s="12" t="s">
        <v>300</v>
      </c>
      <c r="AB238" s="12" t="s">
        <v>188</v>
      </c>
      <c r="AC238" s="12" t="str">
        <f>Table1[[#This Row],[Please select your county]]</f>
        <v>San Francisco County</v>
      </c>
      <c r="AD238" s="12">
        <f>COUNTIF(B:B,Table1[[#This Row],[Please select your county]])</f>
        <v>34</v>
      </c>
      <c r="AE238" s="12" t="str">
        <f>Table1[[#This Row],[Please select your county]]</f>
        <v>San Francisco County</v>
      </c>
      <c r="AF238" s="41">
        <f>COUNTIF(AE:AE,Table1[[#This Row],[County]])</f>
        <v>34</v>
      </c>
      <c r="AG238" s="12">
        <v>2025</v>
      </c>
    </row>
    <row r="239" spans="1:33" ht="15.5" x14ac:dyDescent="0.35">
      <c r="A239" s="12">
        <v>180</v>
      </c>
      <c r="B239" s="12" t="s">
        <v>149</v>
      </c>
      <c r="C239" s="12"/>
      <c r="D239" s="12"/>
      <c r="E239" s="12"/>
      <c r="F239" s="12"/>
      <c r="G239" s="12"/>
      <c r="H239" s="12"/>
      <c r="I239" s="12"/>
      <c r="J239" s="12"/>
      <c r="K239" s="10" t="s">
        <v>267</v>
      </c>
      <c r="L239" s="10"/>
      <c r="M239" s="10"/>
      <c r="N239" s="10"/>
      <c r="O239" s="12" t="s">
        <v>38</v>
      </c>
      <c r="P239" s="12">
        <v>1000</v>
      </c>
      <c r="Q239" s="12" t="s">
        <v>295</v>
      </c>
      <c r="R239" s="12" t="s">
        <v>73</v>
      </c>
      <c r="S239" s="12" t="s">
        <v>275</v>
      </c>
      <c r="T239" s="12" t="s">
        <v>160</v>
      </c>
      <c r="U239" s="12" t="s">
        <v>159</v>
      </c>
      <c r="V239" s="12" t="s">
        <v>165</v>
      </c>
      <c r="W239" s="12" t="s">
        <v>343</v>
      </c>
      <c r="X239" s="12"/>
      <c r="Y239" s="12" t="s">
        <v>343</v>
      </c>
      <c r="Z239" s="12"/>
      <c r="AA239" s="12" t="s">
        <v>165</v>
      </c>
      <c r="AB239" s="12" t="s">
        <v>165</v>
      </c>
      <c r="AC239" s="12" t="str">
        <f>Table1[[#This Row],[Please select your county]]</f>
        <v>San Francisco County</v>
      </c>
      <c r="AD239" s="12">
        <f>COUNTIF(B:B,Table1[[#This Row],[Please select your county]])</f>
        <v>34</v>
      </c>
      <c r="AE239" s="12" t="str">
        <f>Table1[[#This Row],[Please select your county]]</f>
        <v>San Francisco County</v>
      </c>
      <c r="AF239" s="41">
        <f>COUNTIF(AE:AE,Table1[[#This Row],[County]])</f>
        <v>34</v>
      </c>
      <c r="AG239" s="12">
        <v>2025</v>
      </c>
    </row>
    <row r="240" spans="1:33" ht="15.5" x14ac:dyDescent="0.35">
      <c r="A240" s="12">
        <v>150</v>
      </c>
      <c r="B240" s="12" t="s">
        <v>149</v>
      </c>
      <c r="C240" s="12"/>
      <c r="D240" s="12"/>
      <c r="E240" s="12"/>
      <c r="F240" s="12"/>
      <c r="G240" s="12"/>
      <c r="H240" s="12"/>
      <c r="I240" s="12"/>
      <c r="J240" s="12"/>
      <c r="K240" s="10" t="s">
        <v>267</v>
      </c>
      <c r="L240" s="10"/>
      <c r="M240" s="10"/>
      <c r="N240" s="10"/>
      <c r="O240" s="12" t="s">
        <v>38</v>
      </c>
      <c r="P240" s="12">
        <v>1200</v>
      </c>
      <c r="Q240" s="12" t="s">
        <v>281</v>
      </c>
      <c r="R240" s="12" t="s">
        <v>68</v>
      </c>
      <c r="S240" s="12" t="s">
        <v>272</v>
      </c>
      <c r="T240" s="12" t="s">
        <v>83</v>
      </c>
      <c r="U240" s="12" t="s">
        <v>159</v>
      </c>
      <c r="V240" s="12" t="s">
        <v>163</v>
      </c>
      <c r="W240" s="12" t="s">
        <v>299</v>
      </c>
      <c r="X240" s="12"/>
      <c r="Y240" s="12" t="s">
        <v>334</v>
      </c>
      <c r="Z240" s="12" t="s">
        <v>363</v>
      </c>
      <c r="AA240" s="12" t="s">
        <v>286</v>
      </c>
      <c r="AB240" s="12" t="s">
        <v>189</v>
      </c>
      <c r="AC240" s="12" t="str">
        <f>Table1[[#This Row],[Please select your county]]</f>
        <v>San Francisco County</v>
      </c>
      <c r="AD240" s="12">
        <f>COUNTIF(B:B,Table1[[#This Row],[Please select your county]])</f>
        <v>34</v>
      </c>
      <c r="AE240" s="12" t="str">
        <f>Table1[[#This Row],[Please select your county]]</f>
        <v>San Francisco County</v>
      </c>
      <c r="AF240" s="41">
        <f>COUNTIF(AE:AE,Table1[[#This Row],[County]])</f>
        <v>34</v>
      </c>
      <c r="AG240" s="12">
        <v>2025</v>
      </c>
    </row>
    <row r="241" spans="1:33" ht="15.5" x14ac:dyDescent="0.35">
      <c r="A241" s="12">
        <v>158</v>
      </c>
      <c r="B241" s="12" t="s">
        <v>149</v>
      </c>
      <c r="C241" s="12"/>
      <c r="D241" s="12"/>
      <c r="E241" s="12"/>
      <c r="F241" s="12"/>
      <c r="G241" s="12"/>
      <c r="H241" s="12"/>
      <c r="I241" s="12"/>
      <c r="J241" s="12"/>
      <c r="K241" s="10" t="s">
        <v>267</v>
      </c>
      <c r="L241" s="10"/>
      <c r="M241" s="10"/>
      <c r="N241" s="10"/>
      <c r="O241" s="12" t="s">
        <v>38</v>
      </c>
      <c r="P241" s="12">
        <v>1600</v>
      </c>
      <c r="Q241" s="12" t="s">
        <v>295</v>
      </c>
      <c r="R241" s="12" t="s">
        <v>75</v>
      </c>
      <c r="S241" s="12" t="s">
        <v>297</v>
      </c>
      <c r="T241" s="12" t="s">
        <v>160</v>
      </c>
      <c r="U241" s="12" t="s">
        <v>160</v>
      </c>
      <c r="V241" s="12"/>
      <c r="W241" s="12"/>
      <c r="X241" s="12"/>
      <c r="Y241" s="12"/>
      <c r="Z241" s="12"/>
      <c r="AA241" s="12"/>
      <c r="AB241" s="12"/>
      <c r="AC241" s="12" t="str">
        <f>Table1[[#This Row],[Please select your county]]</f>
        <v>San Francisco County</v>
      </c>
      <c r="AD241" s="12">
        <f>COUNTIF(B:B,Table1[[#This Row],[Please select your county]])</f>
        <v>34</v>
      </c>
      <c r="AE241" s="12" t="str">
        <f>Table1[[#This Row],[Please select your county]]</f>
        <v>San Francisco County</v>
      </c>
      <c r="AF241" s="41">
        <f>COUNTIF(AE:AE,Table1[[#This Row],[County]])</f>
        <v>34</v>
      </c>
      <c r="AG241" s="12">
        <v>2025</v>
      </c>
    </row>
    <row r="242" spans="1:33" ht="15.5" x14ac:dyDescent="0.35">
      <c r="A242" s="12">
        <v>182</v>
      </c>
      <c r="B242" s="12" t="s">
        <v>149</v>
      </c>
      <c r="C242" s="12"/>
      <c r="D242" s="12"/>
      <c r="E242" s="12"/>
      <c r="F242" s="12"/>
      <c r="G242" s="12"/>
      <c r="H242" s="12"/>
      <c r="I242" s="12"/>
      <c r="J242" s="12"/>
      <c r="K242" s="10" t="s">
        <v>267</v>
      </c>
      <c r="L242" s="10"/>
      <c r="M242" s="10"/>
      <c r="N242" s="10"/>
      <c r="O242" s="12" t="s">
        <v>38</v>
      </c>
      <c r="P242" s="12">
        <v>1800</v>
      </c>
      <c r="Q242" s="12" t="s">
        <v>326</v>
      </c>
      <c r="R242" s="12" t="s">
        <v>71</v>
      </c>
      <c r="S242" s="12" t="s">
        <v>324</v>
      </c>
      <c r="T242" s="12" t="s">
        <v>159</v>
      </c>
      <c r="U242" s="12" t="s">
        <v>160</v>
      </c>
      <c r="V242" s="12"/>
      <c r="W242" s="12"/>
      <c r="X242" s="12"/>
      <c r="Y242" s="12"/>
      <c r="Z242" s="12"/>
      <c r="AA242" s="12"/>
      <c r="AB242" s="12"/>
      <c r="AC242" s="12" t="str">
        <f>Table1[[#This Row],[Please select your county]]</f>
        <v>San Francisco County</v>
      </c>
      <c r="AD242" s="12">
        <f>COUNTIF(B:B,Table1[[#This Row],[Please select your county]])</f>
        <v>34</v>
      </c>
      <c r="AE242" s="12" t="str">
        <f>Table1[[#This Row],[Please select your county]]</f>
        <v>San Francisco County</v>
      </c>
      <c r="AF242" s="41">
        <f>COUNTIF(AE:AE,Table1[[#This Row],[County]])</f>
        <v>34</v>
      </c>
      <c r="AG242" s="12">
        <v>2025</v>
      </c>
    </row>
    <row r="243" spans="1:33" ht="15.5" x14ac:dyDescent="0.35">
      <c r="A243" s="12">
        <v>309</v>
      </c>
      <c r="B243" s="12" t="s">
        <v>150</v>
      </c>
      <c r="C243" s="12"/>
      <c r="D243" s="12"/>
      <c r="E243" s="12"/>
      <c r="F243" s="12"/>
      <c r="G243" s="12" t="s">
        <v>22</v>
      </c>
      <c r="H243" s="12"/>
      <c r="I243" s="12"/>
      <c r="J243" s="12"/>
      <c r="K243" s="10" t="s">
        <v>294</v>
      </c>
      <c r="L243" s="10"/>
      <c r="M243" s="10"/>
      <c r="N243" s="10"/>
      <c r="O243" s="12" t="s">
        <v>38</v>
      </c>
      <c r="P243" s="12">
        <v>200</v>
      </c>
      <c r="Q243" s="12" t="s">
        <v>281</v>
      </c>
      <c r="R243" s="12" t="s">
        <v>79</v>
      </c>
      <c r="S243" s="12" t="s">
        <v>272</v>
      </c>
      <c r="T243" s="12" t="s">
        <v>159</v>
      </c>
      <c r="U243" s="12" t="s">
        <v>160</v>
      </c>
      <c r="V243" s="12"/>
      <c r="W243" s="12"/>
      <c r="X243" s="12"/>
      <c r="Y243" s="12"/>
      <c r="Z243" s="12"/>
      <c r="AA243" s="12"/>
      <c r="AB243" s="12"/>
      <c r="AC243" s="12" t="str">
        <f>Table1[[#This Row],[City or Community (San Mateo County)]]</f>
        <v>San Mateo</v>
      </c>
      <c r="AD243" s="12">
        <f>COUNTIF(G:G,Table1[[#This Row],[City or Community (San Mateo County)]])</f>
        <v>56</v>
      </c>
      <c r="AE243" s="12" t="str">
        <f>Table1[[#This Row],[Please select your county]]</f>
        <v>San Mateo County</v>
      </c>
      <c r="AF243" s="41">
        <f>COUNTIF(AE:AE,Table1[[#This Row],[County]])</f>
        <v>124</v>
      </c>
      <c r="AG243" s="12">
        <v>2025</v>
      </c>
    </row>
    <row r="244" spans="1:33" ht="31" x14ac:dyDescent="0.35">
      <c r="A244" s="12">
        <v>484</v>
      </c>
      <c r="B244" s="12" t="s">
        <v>150</v>
      </c>
      <c r="C244" s="12"/>
      <c r="D244" s="12"/>
      <c r="E244" s="12"/>
      <c r="F244" s="12"/>
      <c r="G244" s="12" t="s">
        <v>22</v>
      </c>
      <c r="H244" s="12"/>
      <c r="I244" s="12"/>
      <c r="J244" s="12"/>
      <c r="K244" s="10" t="s">
        <v>287</v>
      </c>
      <c r="L244" s="10" t="s">
        <v>268</v>
      </c>
      <c r="M244" s="10" t="s">
        <v>269</v>
      </c>
      <c r="N244" s="10" t="s">
        <v>280</v>
      </c>
      <c r="O244" s="12" t="s">
        <v>38</v>
      </c>
      <c r="P244" s="12">
        <v>200</v>
      </c>
      <c r="Q244" s="12" t="s">
        <v>271</v>
      </c>
      <c r="R244" s="12" t="s">
        <v>79</v>
      </c>
      <c r="S244" s="12" t="s">
        <v>272</v>
      </c>
      <c r="T244" s="12" t="s">
        <v>159</v>
      </c>
      <c r="U244" s="12" t="s">
        <v>160</v>
      </c>
      <c r="V244" s="12"/>
      <c r="W244" s="12"/>
      <c r="X244" s="12"/>
      <c r="Y244" s="12"/>
      <c r="Z244" s="12"/>
      <c r="AA244" s="12"/>
      <c r="AB244" s="12"/>
      <c r="AC244" s="12" t="str">
        <f>Table1[[#This Row],[City or Community (San Mateo County)]]</f>
        <v>San Mateo</v>
      </c>
      <c r="AD244" s="12">
        <f>COUNTIF(G:G,Table1[[#This Row],[City or Community (San Mateo County)]])</f>
        <v>56</v>
      </c>
      <c r="AE244" s="12" t="str">
        <f>Table1[[#This Row],[Please select your county]]</f>
        <v>San Mateo County</v>
      </c>
      <c r="AF244" s="41">
        <f>COUNTIF(AE:AE,Table1[[#This Row],[County]])</f>
        <v>124</v>
      </c>
      <c r="AG244" s="12">
        <v>2025</v>
      </c>
    </row>
    <row r="245" spans="1:33" ht="15.5" x14ac:dyDescent="0.35">
      <c r="A245" s="12">
        <v>297</v>
      </c>
      <c r="B245" s="12" t="s">
        <v>150</v>
      </c>
      <c r="C245" s="12"/>
      <c r="D245" s="12"/>
      <c r="E245" s="12"/>
      <c r="F245" s="12"/>
      <c r="G245" s="12" t="s">
        <v>22</v>
      </c>
      <c r="H245" s="12"/>
      <c r="I245" s="12"/>
      <c r="J245" s="12"/>
      <c r="K245" s="10" t="s">
        <v>267</v>
      </c>
      <c r="L245" s="10"/>
      <c r="M245" s="10"/>
      <c r="N245" s="10"/>
      <c r="O245" s="12" t="s">
        <v>38</v>
      </c>
      <c r="P245" s="12">
        <v>210</v>
      </c>
      <c r="Q245" s="12" t="s">
        <v>271</v>
      </c>
      <c r="R245" s="12" t="s">
        <v>69</v>
      </c>
      <c r="S245" s="12" t="s">
        <v>276</v>
      </c>
      <c r="T245" s="12" t="s">
        <v>159</v>
      </c>
      <c r="U245" s="12" t="s">
        <v>159</v>
      </c>
      <c r="V245" s="12" t="s">
        <v>164</v>
      </c>
      <c r="W245" s="12" t="s">
        <v>289</v>
      </c>
      <c r="X245" s="12"/>
      <c r="Y245" s="12" t="s">
        <v>290</v>
      </c>
      <c r="Z245" s="12"/>
      <c r="AA245" s="12" t="s">
        <v>295</v>
      </c>
      <c r="AB245" s="12" t="s">
        <v>186</v>
      </c>
      <c r="AC245" s="12" t="str">
        <f>Table1[[#This Row],[City or Community (San Mateo County)]]</f>
        <v>San Mateo</v>
      </c>
      <c r="AD245" s="12">
        <f>COUNTIF(G:G,Table1[[#This Row],[City or Community (San Mateo County)]])</f>
        <v>56</v>
      </c>
      <c r="AE245" s="12" t="str">
        <f>Table1[[#This Row],[Please select your county]]</f>
        <v>San Mateo County</v>
      </c>
      <c r="AF245" s="41">
        <f>COUNTIF(AE:AE,Table1[[#This Row],[County]])</f>
        <v>124</v>
      </c>
      <c r="AG245" s="12">
        <v>2025</v>
      </c>
    </row>
    <row r="246" spans="1:33" ht="15.5" x14ac:dyDescent="0.35">
      <c r="A246" s="12">
        <v>564</v>
      </c>
      <c r="B246" s="12" t="s">
        <v>150</v>
      </c>
      <c r="C246" s="12"/>
      <c r="D246" s="12"/>
      <c r="E246" s="12"/>
      <c r="F246" s="12"/>
      <c r="G246" s="12" t="s">
        <v>22</v>
      </c>
      <c r="H246" s="12"/>
      <c r="I246" s="12"/>
      <c r="J246" s="12"/>
      <c r="K246" s="10" t="s">
        <v>274</v>
      </c>
      <c r="L246" s="10" t="s">
        <v>268</v>
      </c>
      <c r="M246" s="10" t="s">
        <v>269</v>
      </c>
      <c r="N246" s="10" t="s">
        <v>288</v>
      </c>
      <c r="O246" s="12" t="s">
        <v>38</v>
      </c>
      <c r="P246" s="12">
        <v>224</v>
      </c>
      <c r="Q246" s="12" t="s">
        <v>271</v>
      </c>
      <c r="R246" s="12" t="s">
        <v>79</v>
      </c>
      <c r="S246" s="12" t="s">
        <v>276</v>
      </c>
      <c r="T246" s="12" t="s">
        <v>159</v>
      </c>
      <c r="U246" s="12" t="s">
        <v>160</v>
      </c>
      <c r="V246" s="12"/>
      <c r="W246" s="12"/>
      <c r="X246" s="12"/>
      <c r="Y246" s="12"/>
      <c r="Z246" s="12"/>
      <c r="AA246" s="12"/>
      <c r="AB246" s="12"/>
      <c r="AC246" s="12" t="str">
        <f>Table1[[#This Row],[City or Community (San Mateo County)]]</f>
        <v>San Mateo</v>
      </c>
      <c r="AD246" s="12">
        <f>COUNTIF(G:G,Table1[[#This Row],[City or Community (San Mateo County)]])</f>
        <v>56</v>
      </c>
      <c r="AE246" s="12" t="str">
        <f>Table1[[#This Row],[Please select your county]]</f>
        <v>San Mateo County</v>
      </c>
      <c r="AF246" s="41">
        <f>COUNTIF(AE:AE,Table1[[#This Row],[County]])</f>
        <v>124</v>
      </c>
      <c r="AG246" s="12">
        <v>2025</v>
      </c>
    </row>
    <row r="247" spans="1:33" ht="31" x14ac:dyDescent="0.35">
      <c r="A247" s="12">
        <v>419</v>
      </c>
      <c r="B247" s="12" t="s">
        <v>150</v>
      </c>
      <c r="C247" s="12"/>
      <c r="D247" s="12"/>
      <c r="E247" s="12"/>
      <c r="F247" s="12"/>
      <c r="G247" s="12" t="s">
        <v>22</v>
      </c>
      <c r="H247" s="12"/>
      <c r="I247" s="12"/>
      <c r="J247" s="12"/>
      <c r="K247" s="10" t="s">
        <v>274</v>
      </c>
      <c r="L247" s="10" t="s">
        <v>312</v>
      </c>
      <c r="M247" s="10" t="s">
        <v>269</v>
      </c>
      <c r="N247" s="10" t="s">
        <v>278</v>
      </c>
      <c r="O247" s="12" t="s">
        <v>38</v>
      </c>
      <c r="P247" s="12">
        <v>224</v>
      </c>
      <c r="Q247" s="12" t="s">
        <v>281</v>
      </c>
      <c r="R247" s="12" t="s">
        <v>79</v>
      </c>
      <c r="S247" s="12" t="s">
        <v>329</v>
      </c>
      <c r="T247" s="12" t="s">
        <v>159</v>
      </c>
      <c r="U247" s="12" t="s">
        <v>160</v>
      </c>
      <c r="V247" s="12"/>
      <c r="W247" s="12"/>
      <c r="X247" s="12"/>
      <c r="Y247" s="12"/>
      <c r="Z247" s="12"/>
      <c r="AA247" s="12"/>
      <c r="AB247" s="12"/>
      <c r="AC247" s="12" t="str">
        <f>Table1[[#This Row],[City or Community (San Mateo County)]]</f>
        <v>San Mateo</v>
      </c>
      <c r="AD247" s="12">
        <f>COUNTIF(G:G,Table1[[#This Row],[City or Community (San Mateo County)]])</f>
        <v>56</v>
      </c>
      <c r="AE247" s="12" t="str">
        <f>Table1[[#This Row],[Please select your county]]</f>
        <v>San Mateo County</v>
      </c>
      <c r="AF247" s="41">
        <f>COUNTIF(AE:AE,Table1[[#This Row],[County]])</f>
        <v>124</v>
      </c>
      <c r="AG247" s="12">
        <v>2025</v>
      </c>
    </row>
    <row r="248" spans="1:33" ht="31" x14ac:dyDescent="0.35">
      <c r="A248" s="12">
        <v>420</v>
      </c>
      <c r="B248" s="12" t="s">
        <v>150</v>
      </c>
      <c r="C248" s="12"/>
      <c r="D248" s="12"/>
      <c r="E248" s="12"/>
      <c r="F248" s="12"/>
      <c r="G248" s="12" t="s">
        <v>22</v>
      </c>
      <c r="H248" s="12"/>
      <c r="I248" s="12"/>
      <c r="J248" s="12"/>
      <c r="K248" s="10" t="s">
        <v>274</v>
      </c>
      <c r="L248" s="10" t="s">
        <v>312</v>
      </c>
      <c r="M248" s="10" t="s">
        <v>269</v>
      </c>
      <c r="N248" s="10" t="s">
        <v>280</v>
      </c>
      <c r="O248" s="12" t="s">
        <v>38</v>
      </c>
      <c r="P248" s="12">
        <v>224</v>
      </c>
      <c r="Q248" s="12" t="s">
        <v>281</v>
      </c>
      <c r="R248" s="12" t="s">
        <v>79</v>
      </c>
      <c r="S248" s="12" t="s">
        <v>272</v>
      </c>
      <c r="T248" s="12" t="s">
        <v>159</v>
      </c>
      <c r="U248" s="12" t="s">
        <v>160</v>
      </c>
      <c r="V248" s="12"/>
      <c r="W248" s="12"/>
      <c r="X248" s="12"/>
      <c r="Y248" s="12"/>
      <c r="Z248" s="12"/>
      <c r="AA248" s="12"/>
      <c r="AB248" s="12"/>
      <c r="AC248" s="12" t="str">
        <f>Table1[[#This Row],[City or Community (San Mateo County)]]</f>
        <v>San Mateo</v>
      </c>
      <c r="AD248" s="12">
        <f>COUNTIF(G:G,Table1[[#This Row],[City or Community (San Mateo County)]])</f>
        <v>56</v>
      </c>
      <c r="AE248" s="12" t="str">
        <f>Table1[[#This Row],[Please select your county]]</f>
        <v>San Mateo County</v>
      </c>
      <c r="AF248" s="41">
        <f>COUNTIF(AE:AE,Table1[[#This Row],[County]])</f>
        <v>124</v>
      </c>
      <c r="AG248" s="12">
        <v>2025</v>
      </c>
    </row>
    <row r="249" spans="1:33" ht="15.5" x14ac:dyDescent="0.35">
      <c r="A249" s="12">
        <v>241</v>
      </c>
      <c r="B249" s="12" t="s">
        <v>150</v>
      </c>
      <c r="C249" s="12"/>
      <c r="D249" s="12"/>
      <c r="E249" s="12"/>
      <c r="F249" s="12"/>
      <c r="G249" s="12" t="s">
        <v>22</v>
      </c>
      <c r="H249" s="12"/>
      <c r="I249" s="12"/>
      <c r="J249" s="12"/>
      <c r="K249" s="10" t="s">
        <v>321</v>
      </c>
      <c r="L249" s="10"/>
      <c r="M249" s="10"/>
      <c r="N249" s="10"/>
      <c r="O249" s="12" t="s">
        <v>38</v>
      </c>
      <c r="P249" s="12">
        <v>224</v>
      </c>
      <c r="Q249" s="12" t="s">
        <v>271</v>
      </c>
      <c r="R249" s="12" t="s">
        <v>67</v>
      </c>
      <c r="S249" s="12" t="s">
        <v>272</v>
      </c>
      <c r="T249" s="12" t="s">
        <v>83</v>
      </c>
      <c r="U249" s="12" t="s">
        <v>159</v>
      </c>
      <c r="V249" s="12"/>
      <c r="W249" s="12"/>
      <c r="X249" s="12"/>
      <c r="Y249" s="12"/>
      <c r="Z249" s="12"/>
      <c r="AA249" s="12"/>
      <c r="AB249" s="12"/>
      <c r="AC249" s="12" t="str">
        <f>Table1[[#This Row],[City or Community (San Mateo County)]]</f>
        <v>San Mateo</v>
      </c>
      <c r="AD249" s="12">
        <f>COUNTIF(G:G,Table1[[#This Row],[City or Community (San Mateo County)]])</f>
        <v>56</v>
      </c>
      <c r="AE249" s="12" t="str">
        <f>Table1[[#This Row],[Please select your county]]</f>
        <v>San Mateo County</v>
      </c>
      <c r="AF249" s="41">
        <f>COUNTIF(AE:AE,Table1[[#This Row],[County]])</f>
        <v>124</v>
      </c>
      <c r="AG249" s="12">
        <v>2025</v>
      </c>
    </row>
    <row r="250" spans="1:33" ht="31" x14ac:dyDescent="0.35">
      <c r="A250" s="12">
        <v>386</v>
      </c>
      <c r="B250" s="12" t="s">
        <v>150</v>
      </c>
      <c r="C250" s="12"/>
      <c r="D250" s="12"/>
      <c r="E250" s="12"/>
      <c r="F250" s="12"/>
      <c r="G250" s="12" t="s">
        <v>22</v>
      </c>
      <c r="H250" s="12"/>
      <c r="I250" s="12"/>
      <c r="J250" s="12"/>
      <c r="K250" s="10" t="s">
        <v>274</v>
      </c>
      <c r="L250" s="10" t="s">
        <v>313</v>
      </c>
      <c r="M250" s="10" t="s">
        <v>301</v>
      </c>
      <c r="N250" s="10" t="s">
        <v>280</v>
      </c>
      <c r="O250" s="12" t="s">
        <v>38</v>
      </c>
      <c r="P250" s="12">
        <v>280</v>
      </c>
      <c r="Q250" s="12" t="s">
        <v>281</v>
      </c>
      <c r="R250" s="12" t="s">
        <v>79</v>
      </c>
      <c r="S250" s="12" t="s">
        <v>272</v>
      </c>
      <c r="T250" s="12" t="s">
        <v>83</v>
      </c>
      <c r="U250" s="12" t="s">
        <v>160</v>
      </c>
      <c r="V250" s="12"/>
      <c r="W250" s="12"/>
      <c r="X250" s="12"/>
      <c r="Y250" s="12"/>
      <c r="Z250" s="12"/>
      <c r="AA250" s="12"/>
      <c r="AB250" s="12"/>
      <c r="AC250" s="12" t="str">
        <f>Table1[[#This Row],[City or Community (San Mateo County)]]</f>
        <v>San Mateo</v>
      </c>
      <c r="AD250" s="12">
        <f>COUNTIF(G:G,Table1[[#This Row],[City or Community (San Mateo County)]])</f>
        <v>56</v>
      </c>
      <c r="AE250" s="12" t="str">
        <f>Table1[[#This Row],[Please select your county]]</f>
        <v>San Mateo County</v>
      </c>
      <c r="AF250" s="41">
        <f>COUNTIF(AE:AE,Table1[[#This Row],[County]])</f>
        <v>124</v>
      </c>
      <c r="AG250" s="12">
        <v>2025</v>
      </c>
    </row>
    <row r="251" spans="1:33" ht="15.5" x14ac:dyDescent="0.35">
      <c r="A251" s="12">
        <v>439</v>
      </c>
      <c r="B251" s="12" t="s">
        <v>150</v>
      </c>
      <c r="C251" s="12"/>
      <c r="D251" s="12"/>
      <c r="E251" s="12"/>
      <c r="F251" s="12"/>
      <c r="G251" s="12" t="s">
        <v>22</v>
      </c>
      <c r="H251" s="12"/>
      <c r="I251" s="12"/>
      <c r="J251" s="12"/>
      <c r="K251" s="10" t="s">
        <v>274</v>
      </c>
      <c r="L251" s="10" t="s">
        <v>313</v>
      </c>
      <c r="M251" s="10" t="s">
        <v>269</v>
      </c>
      <c r="N251" s="10" t="s">
        <v>288</v>
      </c>
      <c r="O251" s="12" t="s">
        <v>38</v>
      </c>
      <c r="P251" s="12">
        <v>289</v>
      </c>
      <c r="Q251" s="12" t="s">
        <v>281</v>
      </c>
      <c r="R251" s="12" t="s">
        <v>79</v>
      </c>
      <c r="S251" s="12" t="s">
        <v>272</v>
      </c>
      <c r="T251" s="12" t="s">
        <v>159</v>
      </c>
      <c r="U251" s="12" t="s">
        <v>160</v>
      </c>
      <c r="V251" s="12"/>
      <c r="W251" s="12"/>
      <c r="X251" s="12"/>
      <c r="Y251" s="12"/>
      <c r="Z251" s="12"/>
      <c r="AA251" s="12"/>
      <c r="AB251" s="12"/>
      <c r="AC251" s="12" t="str">
        <f>Table1[[#This Row],[City or Community (San Mateo County)]]</f>
        <v>San Mateo</v>
      </c>
      <c r="AD251" s="12">
        <f>COUNTIF(G:G,Table1[[#This Row],[City or Community (San Mateo County)]])</f>
        <v>56</v>
      </c>
      <c r="AE251" s="12" t="str">
        <f>Table1[[#This Row],[Please select your county]]</f>
        <v>San Mateo County</v>
      </c>
      <c r="AF251" s="41">
        <f>COUNTIF(AE:AE,Table1[[#This Row],[County]])</f>
        <v>124</v>
      </c>
      <c r="AG251" s="12">
        <v>2025</v>
      </c>
    </row>
    <row r="252" spans="1:33" ht="31" x14ac:dyDescent="0.35">
      <c r="A252" s="12">
        <v>269</v>
      </c>
      <c r="B252" s="12" t="s">
        <v>150</v>
      </c>
      <c r="C252" s="12"/>
      <c r="D252" s="12"/>
      <c r="E252" s="12"/>
      <c r="F252" s="12"/>
      <c r="G252" s="12" t="s">
        <v>22</v>
      </c>
      <c r="H252" s="12"/>
      <c r="I252" s="12"/>
      <c r="J252" s="12"/>
      <c r="K252" s="10" t="s">
        <v>308</v>
      </c>
      <c r="L252" s="10"/>
      <c r="M252" s="10"/>
      <c r="N252" s="10"/>
      <c r="O252" s="12" t="s">
        <v>38</v>
      </c>
      <c r="P252" s="12">
        <v>329</v>
      </c>
      <c r="Q252" s="12" t="s">
        <v>271</v>
      </c>
      <c r="R252" s="12" t="s">
        <v>68</v>
      </c>
      <c r="S252" s="12" t="s">
        <v>284</v>
      </c>
      <c r="T252" s="12" t="s">
        <v>159</v>
      </c>
      <c r="U252" s="12" t="s">
        <v>160</v>
      </c>
      <c r="V252" s="12"/>
      <c r="W252" s="12"/>
      <c r="X252" s="12"/>
      <c r="Y252" s="12"/>
      <c r="Z252" s="12"/>
      <c r="AA252" s="12"/>
      <c r="AB252" s="12"/>
      <c r="AC252" s="12" t="str">
        <f>Table1[[#This Row],[City or Community (San Mateo County)]]</f>
        <v>San Mateo</v>
      </c>
      <c r="AD252" s="12">
        <f>COUNTIF(G:G,Table1[[#This Row],[City or Community (San Mateo County)]])</f>
        <v>56</v>
      </c>
      <c r="AE252" s="12" t="str">
        <f>Table1[[#This Row],[Please select your county]]</f>
        <v>San Mateo County</v>
      </c>
      <c r="AF252" s="41">
        <f>COUNTIF(AE:AE,Table1[[#This Row],[County]])</f>
        <v>124</v>
      </c>
      <c r="AG252" s="12">
        <v>2025</v>
      </c>
    </row>
    <row r="253" spans="1:33" ht="31" x14ac:dyDescent="0.35">
      <c r="A253" s="12">
        <v>405</v>
      </c>
      <c r="B253" s="12" t="s">
        <v>150</v>
      </c>
      <c r="C253" s="12"/>
      <c r="D253" s="12"/>
      <c r="E253" s="12"/>
      <c r="F253" s="12"/>
      <c r="G253" s="12" t="s">
        <v>22</v>
      </c>
      <c r="H253" s="12"/>
      <c r="I253" s="12"/>
      <c r="J253" s="12"/>
      <c r="K253" s="10" t="s">
        <v>267</v>
      </c>
      <c r="L253" s="10" t="s">
        <v>268</v>
      </c>
      <c r="M253" s="10" t="s">
        <v>269</v>
      </c>
      <c r="N253" s="10" t="s">
        <v>278</v>
      </c>
      <c r="O253" s="12" t="s">
        <v>38</v>
      </c>
      <c r="P253" s="12">
        <v>360</v>
      </c>
      <c r="Q253" s="12" t="s">
        <v>271</v>
      </c>
      <c r="R253" s="12" t="s">
        <v>68</v>
      </c>
      <c r="S253" s="12" t="s">
        <v>276</v>
      </c>
      <c r="T253" s="12" t="s">
        <v>83</v>
      </c>
      <c r="U253" s="12" t="s">
        <v>159</v>
      </c>
      <c r="V253" s="12" t="s">
        <v>164</v>
      </c>
      <c r="W253" s="12" t="s">
        <v>289</v>
      </c>
      <c r="X253" s="12"/>
      <c r="Y253" s="12" t="s">
        <v>290</v>
      </c>
      <c r="Z253" s="12"/>
      <c r="AA253" s="12" t="s">
        <v>295</v>
      </c>
      <c r="AB253" s="12" t="s">
        <v>190</v>
      </c>
      <c r="AC253" s="12" t="str">
        <f>Table1[[#This Row],[City or Community (San Mateo County)]]</f>
        <v>San Mateo</v>
      </c>
      <c r="AD253" s="12">
        <f>COUNTIF(G:G,Table1[[#This Row],[City or Community (San Mateo County)]])</f>
        <v>56</v>
      </c>
      <c r="AE253" s="12" t="str">
        <f>Table1[[#This Row],[Please select your county]]</f>
        <v>San Mateo County</v>
      </c>
      <c r="AF253" s="41">
        <f>COUNTIF(AE:AE,Table1[[#This Row],[County]])</f>
        <v>124</v>
      </c>
      <c r="AG253" s="12">
        <v>2025</v>
      </c>
    </row>
    <row r="254" spans="1:33" ht="31" x14ac:dyDescent="0.35">
      <c r="A254" s="12">
        <v>326</v>
      </c>
      <c r="B254" s="12" t="s">
        <v>150</v>
      </c>
      <c r="C254" s="12"/>
      <c r="D254" s="12"/>
      <c r="E254" s="12"/>
      <c r="F254" s="12"/>
      <c r="G254" s="12" t="s">
        <v>22</v>
      </c>
      <c r="H254" s="12"/>
      <c r="I254" s="12"/>
      <c r="J254" s="12"/>
      <c r="K254" s="10" t="s">
        <v>350</v>
      </c>
      <c r="L254" s="10"/>
      <c r="M254" s="10"/>
      <c r="N254" s="10"/>
      <c r="O254" s="12" t="s">
        <v>38</v>
      </c>
      <c r="P254" s="12">
        <v>370</v>
      </c>
      <c r="Q254" s="12" t="s">
        <v>281</v>
      </c>
      <c r="R254" s="12" t="s">
        <v>69</v>
      </c>
      <c r="S254" s="12" t="s">
        <v>276</v>
      </c>
      <c r="T254" s="12" t="s">
        <v>159</v>
      </c>
      <c r="U254" s="12" t="s">
        <v>160</v>
      </c>
      <c r="V254" s="12"/>
      <c r="W254" s="12"/>
      <c r="X254" s="12"/>
      <c r="Y254" s="12"/>
      <c r="Z254" s="12"/>
      <c r="AA254" s="12"/>
      <c r="AB254" s="12"/>
      <c r="AC254" s="12" t="str">
        <f>Table1[[#This Row],[City or Community (San Mateo County)]]</f>
        <v>San Mateo</v>
      </c>
      <c r="AD254" s="12">
        <f>COUNTIF(G:G,Table1[[#This Row],[City or Community (San Mateo County)]])</f>
        <v>56</v>
      </c>
      <c r="AE254" s="12" t="str">
        <f>Table1[[#This Row],[Please select your county]]</f>
        <v>San Mateo County</v>
      </c>
      <c r="AF254" s="41">
        <f>COUNTIF(AE:AE,Table1[[#This Row],[County]])</f>
        <v>124</v>
      </c>
      <c r="AG254" s="12">
        <v>2025</v>
      </c>
    </row>
    <row r="255" spans="1:33" ht="31" x14ac:dyDescent="0.35">
      <c r="A255" s="12">
        <v>507</v>
      </c>
      <c r="B255" s="12" t="s">
        <v>150</v>
      </c>
      <c r="C255" s="12"/>
      <c r="D255" s="12"/>
      <c r="E255" s="12"/>
      <c r="F255" s="12"/>
      <c r="G255" s="12" t="s">
        <v>22</v>
      </c>
      <c r="H255" s="12"/>
      <c r="I255" s="12"/>
      <c r="J255" s="12"/>
      <c r="K255" s="10" t="s">
        <v>267</v>
      </c>
      <c r="L255" s="10" t="s">
        <v>277</v>
      </c>
      <c r="M255" s="10" t="s">
        <v>269</v>
      </c>
      <c r="N255" s="10" t="s">
        <v>280</v>
      </c>
      <c r="O255" s="12" t="s">
        <v>38</v>
      </c>
      <c r="P255" s="12">
        <v>378</v>
      </c>
      <c r="Q255" s="12" t="s">
        <v>271</v>
      </c>
      <c r="R255" s="12" t="s">
        <v>70</v>
      </c>
      <c r="S255" s="12" t="s">
        <v>298</v>
      </c>
      <c r="T255" s="12" t="s">
        <v>159</v>
      </c>
      <c r="U255" s="12" t="s">
        <v>160</v>
      </c>
      <c r="V255" s="12"/>
      <c r="W255" s="12"/>
      <c r="X255" s="12"/>
      <c r="Y255" s="12"/>
      <c r="Z255" s="12"/>
      <c r="AA255" s="12"/>
      <c r="AB255" s="12"/>
      <c r="AC255" s="12" t="str">
        <f>Table1[[#This Row],[City or Community (San Mateo County)]]</f>
        <v>San Mateo</v>
      </c>
      <c r="AD255" s="12">
        <f>COUNTIF(G:G,Table1[[#This Row],[City or Community (San Mateo County)]])</f>
        <v>56</v>
      </c>
      <c r="AE255" s="12" t="str">
        <f>Table1[[#This Row],[Please select your county]]</f>
        <v>San Mateo County</v>
      </c>
      <c r="AF255" s="41">
        <f>COUNTIF(AE:AE,Table1[[#This Row],[County]])</f>
        <v>124</v>
      </c>
      <c r="AG255" s="12">
        <v>2025</v>
      </c>
    </row>
    <row r="256" spans="1:33" ht="31" x14ac:dyDescent="0.35">
      <c r="A256" s="12">
        <v>353</v>
      </c>
      <c r="B256" s="12" t="s">
        <v>150</v>
      </c>
      <c r="C256" s="12"/>
      <c r="D256" s="12"/>
      <c r="E256" s="12"/>
      <c r="F256" s="12"/>
      <c r="G256" s="12" t="s">
        <v>22</v>
      </c>
      <c r="H256" s="12"/>
      <c r="I256" s="12"/>
      <c r="J256" s="12"/>
      <c r="K256" s="10" t="s">
        <v>267</v>
      </c>
      <c r="L256" s="10" t="s">
        <v>268</v>
      </c>
      <c r="M256" s="10" t="s">
        <v>269</v>
      </c>
      <c r="N256" s="10" t="s">
        <v>278</v>
      </c>
      <c r="O256" s="12" t="s">
        <v>38</v>
      </c>
      <c r="P256" s="12">
        <v>390</v>
      </c>
      <c r="Q256" s="12" t="s">
        <v>271</v>
      </c>
      <c r="R256" s="12" t="s">
        <v>68</v>
      </c>
      <c r="S256" s="12" t="s">
        <v>276</v>
      </c>
      <c r="T256" s="12" t="s">
        <v>159</v>
      </c>
      <c r="U256" s="12" t="s">
        <v>160</v>
      </c>
      <c r="V256" s="12"/>
      <c r="W256" s="12"/>
      <c r="X256" s="12"/>
      <c r="Y256" s="12"/>
      <c r="Z256" s="12"/>
      <c r="AA256" s="12"/>
      <c r="AB256" s="12"/>
      <c r="AC256" s="12" t="str">
        <f>Table1[[#This Row],[City or Community (San Mateo County)]]</f>
        <v>San Mateo</v>
      </c>
      <c r="AD256" s="12">
        <f>COUNTIF(G:G,Table1[[#This Row],[City or Community (San Mateo County)]])</f>
        <v>56</v>
      </c>
      <c r="AE256" s="12" t="str">
        <f>Table1[[#This Row],[Please select your county]]</f>
        <v>San Mateo County</v>
      </c>
      <c r="AF256" s="41">
        <f>COUNTIF(AE:AE,Table1[[#This Row],[County]])</f>
        <v>124</v>
      </c>
      <c r="AG256" s="12">
        <v>2025</v>
      </c>
    </row>
    <row r="257" spans="1:33" ht="15.5" x14ac:dyDescent="0.35">
      <c r="A257" s="12">
        <v>501</v>
      </c>
      <c r="B257" s="12" t="s">
        <v>150</v>
      </c>
      <c r="C257" s="12"/>
      <c r="D257" s="12"/>
      <c r="E257" s="12"/>
      <c r="F257" s="12"/>
      <c r="G257" s="12" t="s">
        <v>22</v>
      </c>
      <c r="H257" s="12"/>
      <c r="I257" s="12"/>
      <c r="J257" s="12"/>
      <c r="K257" s="12" t="s">
        <v>274</v>
      </c>
      <c r="L257" s="12" t="s">
        <v>268</v>
      </c>
      <c r="M257" s="12" t="s">
        <v>269</v>
      </c>
      <c r="N257" s="12" t="s">
        <v>280</v>
      </c>
      <c r="O257" s="12" t="s">
        <v>38</v>
      </c>
      <c r="P257" s="12">
        <v>400</v>
      </c>
      <c r="Q257" s="12" t="s">
        <v>271</v>
      </c>
      <c r="R257" s="12" t="s">
        <v>79</v>
      </c>
      <c r="S257" s="12" t="s">
        <v>272</v>
      </c>
      <c r="T257" s="12" t="s">
        <v>159</v>
      </c>
      <c r="U257" s="12" t="s">
        <v>159</v>
      </c>
      <c r="V257" s="12" t="s">
        <v>163</v>
      </c>
      <c r="W257" s="12" t="s">
        <v>299</v>
      </c>
      <c r="X257" s="12"/>
      <c r="Y257" s="12" t="s">
        <v>290</v>
      </c>
      <c r="Z257" s="12"/>
      <c r="AA257" s="12" t="s">
        <v>300</v>
      </c>
      <c r="AB257" s="12" t="s">
        <v>190</v>
      </c>
      <c r="AC257" s="12" t="str">
        <f>Table1[[#This Row],[City or Community (San Mateo County)]]</f>
        <v>San Mateo</v>
      </c>
      <c r="AD257" s="12">
        <f>COUNTIF(G:G,Table1[[#This Row],[City or Community (San Mateo County)]])</f>
        <v>56</v>
      </c>
      <c r="AE257" s="12" t="str">
        <f>Table1[[#This Row],[Please select your county]]</f>
        <v>San Mateo County</v>
      </c>
      <c r="AF257" s="41">
        <f>COUNTIF(AE:AE,Table1[[#This Row],[County]])</f>
        <v>124</v>
      </c>
      <c r="AG257" s="12">
        <v>2025</v>
      </c>
    </row>
    <row r="258" spans="1:33" ht="15.5" x14ac:dyDescent="0.35">
      <c r="A258" s="12">
        <v>503</v>
      </c>
      <c r="B258" s="12" t="s">
        <v>150</v>
      </c>
      <c r="C258" s="12"/>
      <c r="D258" s="12"/>
      <c r="E258" s="12"/>
      <c r="F258" s="12"/>
      <c r="G258" s="12" t="s">
        <v>22</v>
      </c>
      <c r="H258" s="12"/>
      <c r="I258" s="12"/>
      <c r="J258" s="12"/>
      <c r="K258" s="12" t="s">
        <v>274</v>
      </c>
      <c r="L258" s="12" t="s">
        <v>312</v>
      </c>
      <c r="M258" s="12" t="s">
        <v>269</v>
      </c>
      <c r="N258" s="12" t="s">
        <v>280</v>
      </c>
      <c r="O258" s="12" t="s">
        <v>38</v>
      </c>
      <c r="P258" s="12">
        <v>420</v>
      </c>
      <c r="Q258" s="12" t="s">
        <v>281</v>
      </c>
      <c r="R258" s="12" t="s">
        <v>79</v>
      </c>
      <c r="S258" s="12" t="s">
        <v>272</v>
      </c>
      <c r="T258" s="12" t="s">
        <v>159</v>
      </c>
      <c r="U258" s="12" t="s">
        <v>160</v>
      </c>
      <c r="V258" s="12"/>
      <c r="W258" s="12"/>
      <c r="X258" s="12"/>
      <c r="Y258" s="12"/>
      <c r="Z258" s="12"/>
      <c r="AA258" s="12"/>
      <c r="AB258" s="12"/>
      <c r="AC258" s="12" t="str">
        <f>Table1[[#This Row],[City or Community (San Mateo County)]]</f>
        <v>San Mateo</v>
      </c>
      <c r="AD258" s="12">
        <f>COUNTIF(G:G,Table1[[#This Row],[City or Community (San Mateo County)]])</f>
        <v>56</v>
      </c>
      <c r="AE258" s="12" t="str">
        <f>Table1[[#This Row],[Please select your county]]</f>
        <v>San Mateo County</v>
      </c>
      <c r="AF258" s="41">
        <f>COUNTIF(AE:AE,Table1[[#This Row],[County]])</f>
        <v>124</v>
      </c>
      <c r="AG258" s="12">
        <v>2025</v>
      </c>
    </row>
    <row r="259" spans="1:33" ht="31" x14ac:dyDescent="0.35">
      <c r="A259" s="12">
        <v>334</v>
      </c>
      <c r="B259" s="12" t="s">
        <v>150</v>
      </c>
      <c r="C259" s="12"/>
      <c r="D259" s="12"/>
      <c r="E259" s="12"/>
      <c r="F259" s="12"/>
      <c r="G259" s="12" t="s">
        <v>22</v>
      </c>
      <c r="H259" s="12"/>
      <c r="I259" s="12"/>
      <c r="J259" s="12"/>
      <c r="K259" s="10" t="s">
        <v>308</v>
      </c>
      <c r="L259" s="10"/>
      <c r="M259" s="10"/>
      <c r="N259" s="10"/>
      <c r="O259" s="12" t="s">
        <v>38</v>
      </c>
      <c r="P259" s="12">
        <v>420</v>
      </c>
      <c r="Q259" s="12" t="s">
        <v>271</v>
      </c>
      <c r="R259" s="12" t="s">
        <v>70</v>
      </c>
      <c r="S259" s="12" t="s">
        <v>276</v>
      </c>
      <c r="T259" s="12" t="s">
        <v>159</v>
      </c>
      <c r="U259" s="12" t="s">
        <v>160</v>
      </c>
      <c r="V259" s="12"/>
      <c r="W259" s="12"/>
      <c r="X259" s="12"/>
      <c r="Y259" s="12"/>
      <c r="Z259" s="12"/>
      <c r="AA259" s="12"/>
      <c r="AB259" s="12"/>
      <c r="AC259" s="12" t="str">
        <f>Table1[[#This Row],[City or Community (San Mateo County)]]</f>
        <v>San Mateo</v>
      </c>
      <c r="AD259" s="12">
        <f>COUNTIF(G:G,Table1[[#This Row],[City or Community (San Mateo County)]])</f>
        <v>56</v>
      </c>
      <c r="AE259" s="12" t="str">
        <f>Table1[[#This Row],[Please select your county]]</f>
        <v>San Mateo County</v>
      </c>
      <c r="AF259" s="41">
        <f>COUNTIF(AE:AE,Table1[[#This Row],[County]])</f>
        <v>124</v>
      </c>
      <c r="AG259" s="12">
        <v>2025</v>
      </c>
    </row>
    <row r="260" spans="1:33" ht="31" x14ac:dyDescent="0.35">
      <c r="A260" s="12">
        <v>465</v>
      </c>
      <c r="B260" s="12" t="s">
        <v>150</v>
      </c>
      <c r="C260" s="12"/>
      <c r="D260" s="12"/>
      <c r="E260" s="12"/>
      <c r="F260" s="12"/>
      <c r="G260" s="12" t="s">
        <v>22</v>
      </c>
      <c r="H260" s="12"/>
      <c r="I260" s="12"/>
      <c r="J260" s="12"/>
      <c r="K260" s="10" t="s">
        <v>273</v>
      </c>
      <c r="L260" s="10" t="s">
        <v>268</v>
      </c>
      <c r="M260" s="10" t="s">
        <v>269</v>
      </c>
      <c r="N260" s="10" t="s">
        <v>280</v>
      </c>
      <c r="O260" s="12" t="s">
        <v>39</v>
      </c>
      <c r="P260" s="12">
        <v>435</v>
      </c>
      <c r="Q260" s="12" t="s">
        <v>281</v>
      </c>
      <c r="R260" s="12" t="s">
        <v>76</v>
      </c>
      <c r="S260" s="12" t="s">
        <v>304</v>
      </c>
      <c r="T260" s="12" t="s">
        <v>159</v>
      </c>
      <c r="U260" s="12" t="s">
        <v>160</v>
      </c>
      <c r="V260" s="12"/>
      <c r="W260" s="12"/>
      <c r="X260" s="12"/>
      <c r="Y260" s="12"/>
      <c r="Z260" s="12"/>
      <c r="AA260" s="12"/>
      <c r="AB260" s="12"/>
      <c r="AC260" s="12" t="str">
        <f>Table1[[#This Row],[City or Community (San Mateo County)]]</f>
        <v>San Mateo</v>
      </c>
      <c r="AD260" s="12">
        <f>COUNTIF(G:G,Table1[[#This Row],[City or Community (San Mateo County)]])</f>
        <v>56</v>
      </c>
      <c r="AE260" s="12" t="str">
        <f>Table1[[#This Row],[Please select your county]]</f>
        <v>San Mateo County</v>
      </c>
      <c r="AF260" s="41">
        <f>COUNTIF(AE:AE,Table1[[#This Row],[County]])</f>
        <v>124</v>
      </c>
      <c r="AG260" s="12">
        <v>2025</v>
      </c>
    </row>
    <row r="261" spans="1:33" ht="15.5" x14ac:dyDescent="0.35">
      <c r="A261" s="12">
        <v>313</v>
      </c>
      <c r="B261" s="12" t="s">
        <v>150</v>
      </c>
      <c r="C261" s="12"/>
      <c r="D261" s="12"/>
      <c r="E261" s="12"/>
      <c r="F261" s="12"/>
      <c r="G261" s="12" t="s">
        <v>22</v>
      </c>
      <c r="H261" s="12"/>
      <c r="I261" s="12"/>
      <c r="J261" s="12"/>
      <c r="K261" s="10" t="s">
        <v>294</v>
      </c>
      <c r="L261" s="10"/>
      <c r="M261" s="10"/>
      <c r="N261" s="10"/>
      <c r="O261" s="12" t="s">
        <v>38</v>
      </c>
      <c r="P261" s="12">
        <v>440</v>
      </c>
      <c r="Q261" s="12" t="s">
        <v>295</v>
      </c>
      <c r="R261" s="12" t="s">
        <v>79</v>
      </c>
      <c r="S261" s="12" t="s">
        <v>276</v>
      </c>
      <c r="T261" s="12" t="s">
        <v>159</v>
      </c>
      <c r="U261" s="12" t="s">
        <v>160</v>
      </c>
      <c r="V261" s="12"/>
      <c r="W261" s="12"/>
      <c r="X261" s="12"/>
      <c r="Y261" s="12"/>
      <c r="Z261" s="12"/>
      <c r="AA261" s="12"/>
      <c r="AB261" s="12"/>
      <c r="AC261" s="12" t="str">
        <f>Table1[[#This Row],[City or Community (San Mateo County)]]</f>
        <v>San Mateo</v>
      </c>
      <c r="AD261" s="12">
        <f>COUNTIF(G:G,Table1[[#This Row],[City or Community (San Mateo County)]])</f>
        <v>56</v>
      </c>
      <c r="AE261" s="12" t="str">
        <f>Table1[[#This Row],[Please select your county]]</f>
        <v>San Mateo County</v>
      </c>
      <c r="AF261" s="41">
        <f>COUNTIF(AE:AE,Table1[[#This Row],[County]])</f>
        <v>124</v>
      </c>
      <c r="AG261" s="12">
        <v>2025</v>
      </c>
    </row>
    <row r="262" spans="1:33" ht="15.5" x14ac:dyDescent="0.35">
      <c r="A262" s="12">
        <v>377</v>
      </c>
      <c r="B262" s="12" t="s">
        <v>150</v>
      </c>
      <c r="C262" s="12"/>
      <c r="D262" s="12"/>
      <c r="E262" s="12"/>
      <c r="F262" s="12"/>
      <c r="G262" s="12" t="s">
        <v>22</v>
      </c>
      <c r="H262" s="12"/>
      <c r="I262" s="12"/>
      <c r="J262" s="12"/>
      <c r="K262" s="12" t="s">
        <v>274</v>
      </c>
      <c r="L262" s="12" t="s">
        <v>268</v>
      </c>
      <c r="M262" s="12" t="s">
        <v>269</v>
      </c>
      <c r="N262" s="12" t="s">
        <v>280</v>
      </c>
      <c r="O262" s="12" t="s">
        <v>38</v>
      </c>
      <c r="P262" s="12">
        <v>447</v>
      </c>
      <c r="Q262" s="12" t="s">
        <v>281</v>
      </c>
      <c r="R262" s="12" t="s">
        <v>165</v>
      </c>
      <c r="S262" s="12" t="s">
        <v>276</v>
      </c>
      <c r="T262" s="12" t="s">
        <v>159</v>
      </c>
      <c r="U262" s="12" t="s">
        <v>160</v>
      </c>
      <c r="V262" s="12"/>
      <c r="W262" s="12"/>
      <c r="X262" s="12"/>
      <c r="Y262" s="12"/>
      <c r="Z262" s="12"/>
      <c r="AA262" s="12"/>
      <c r="AB262" s="12"/>
      <c r="AC262" s="12" t="str">
        <f>Table1[[#This Row],[City or Community (San Mateo County)]]</f>
        <v>San Mateo</v>
      </c>
      <c r="AD262" s="12">
        <f>COUNTIF(G:G,Table1[[#This Row],[City or Community (San Mateo County)]])</f>
        <v>56</v>
      </c>
      <c r="AE262" s="12" t="str">
        <f>Table1[[#This Row],[Please select your county]]</f>
        <v>San Mateo County</v>
      </c>
      <c r="AF262" s="41">
        <f>COUNTIF(AE:AE,Table1[[#This Row],[County]])</f>
        <v>124</v>
      </c>
      <c r="AG262" s="12">
        <v>2025</v>
      </c>
    </row>
    <row r="263" spans="1:33" ht="15.5" x14ac:dyDescent="0.35">
      <c r="A263" s="12">
        <v>587</v>
      </c>
      <c r="B263" s="12" t="s">
        <v>150</v>
      </c>
      <c r="C263" s="12"/>
      <c r="D263" s="12"/>
      <c r="E263" s="12"/>
      <c r="F263" s="12"/>
      <c r="G263" s="12" t="s">
        <v>22</v>
      </c>
      <c r="H263" s="12"/>
      <c r="I263" s="12"/>
      <c r="J263" s="12"/>
      <c r="K263" s="10" t="s">
        <v>267</v>
      </c>
      <c r="L263" s="10" t="s">
        <v>268</v>
      </c>
      <c r="M263" s="10" t="s">
        <v>301</v>
      </c>
      <c r="N263" s="10" t="s">
        <v>288</v>
      </c>
      <c r="O263" s="12" t="s">
        <v>38</v>
      </c>
      <c r="P263" s="12">
        <v>450</v>
      </c>
      <c r="Q263" s="12" t="s">
        <v>281</v>
      </c>
      <c r="R263" s="12" t="s">
        <v>71</v>
      </c>
      <c r="S263" s="12" t="s">
        <v>276</v>
      </c>
      <c r="T263" s="12" t="s">
        <v>159</v>
      </c>
      <c r="U263" s="12" t="s">
        <v>160</v>
      </c>
      <c r="V263" s="12"/>
      <c r="W263" s="12"/>
      <c r="X263" s="12"/>
      <c r="Y263" s="12"/>
      <c r="Z263" s="12"/>
      <c r="AA263" s="12"/>
      <c r="AB263" s="12"/>
      <c r="AC263" s="12" t="str">
        <f>Table1[[#This Row],[City or Community (San Mateo County)]]</f>
        <v>San Mateo</v>
      </c>
      <c r="AD263" s="12">
        <f>COUNTIF(G:G,Table1[[#This Row],[City or Community (San Mateo County)]])</f>
        <v>56</v>
      </c>
      <c r="AE263" s="12" t="str">
        <f>Table1[[#This Row],[Please select your county]]</f>
        <v>San Mateo County</v>
      </c>
      <c r="AF263" s="41">
        <f>COUNTIF(AE:AE,Table1[[#This Row],[County]])</f>
        <v>124</v>
      </c>
      <c r="AG263" s="12">
        <v>2025</v>
      </c>
    </row>
    <row r="264" spans="1:33" ht="15.5" x14ac:dyDescent="0.35">
      <c r="A264" s="12">
        <v>327</v>
      </c>
      <c r="B264" s="12" t="s">
        <v>150</v>
      </c>
      <c r="C264" s="12"/>
      <c r="D264" s="12"/>
      <c r="E264" s="12"/>
      <c r="F264" s="12"/>
      <c r="G264" s="12" t="s">
        <v>22</v>
      </c>
      <c r="H264" s="12"/>
      <c r="I264" s="12"/>
      <c r="J264" s="12"/>
      <c r="K264" s="10" t="s">
        <v>283</v>
      </c>
      <c r="L264" s="10"/>
      <c r="M264" s="10"/>
      <c r="N264" s="10"/>
      <c r="O264" s="12" t="s">
        <v>38</v>
      </c>
      <c r="P264" s="12">
        <v>483</v>
      </c>
      <c r="Q264" s="12" t="s">
        <v>271</v>
      </c>
      <c r="R264" s="12" t="s">
        <v>79</v>
      </c>
      <c r="S264" s="12" t="s">
        <v>272</v>
      </c>
      <c r="T264" s="12" t="s">
        <v>159</v>
      </c>
      <c r="U264" s="12" t="s">
        <v>160</v>
      </c>
      <c r="V264" s="12"/>
      <c r="W264" s="12"/>
      <c r="X264" s="12"/>
      <c r="Y264" s="12"/>
      <c r="Z264" s="12"/>
      <c r="AA264" s="12"/>
      <c r="AB264" s="12"/>
      <c r="AC264" s="12" t="str">
        <f>Table1[[#This Row],[City or Community (San Mateo County)]]</f>
        <v>San Mateo</v>
      </c>
      <c r="AD264" s="12">
        <f>COUNTIF(G:G,Table1[[#This Row],[City or Community (San Mateo County)]])</f>
        <v>56</v>
      </c>
      <c r="AE264" s="12" t="str">
        <f>Table1[[#This Row],[Please select your county]]</f>
        <v>San Mateo County</v>
      </c>
      <c r="AF264" s="41">
        <f>COUNTIF(AE:AE,Table1[[#This Row],[County]])</f>
        <v>124</v>
      </c>
      <c r="AG264" s="12">
        <v>2025</v>
      </c>
    </row>
    <row r="265" spans="1:33" ht="15.5" x14ac:dyDescent="0.35">
      <c r="A265" s="12">
        <v>328</v>
      </c>
      <c r="B265" s="12" t="s">
        <v>150</v>
      </c>
      <c r="C265" s="12"/>
      <c r="D265" s="12"/>
      <c r="E265" s="12"/>
      <c r="F265" s="12"/>
      <c r="G265" s="12" t="s">
        <v>22</v>
      </c>
      <c r="H265" s="12"/>
      <c r="I265" s="12"/>
      <c r="J265" s="12"/>
      <c r="K265" s="10" t="s">
        <v>287</v>
      </c>
      <c r="L265" s="10"/>
      <c r="M265" s="10"/>
      <c r="N265" s="10"/>
      <c r="O265" s="12" t="s">
        <v>38</v>
      </c>
      <c r="P265" s="12">
        <v>483</v>
      </c>
      <c r="Q265" s="12" t="s">
        <v>271</v>
      </c>
      <c r="R265" s="12" t="s">
        <v>79</v>
      </c>
      <c r="S265" s="12" t="s">
        <v>272</v>
      </c>
      <c r="T265" s="12" t="s">
        <v>159</v>
      </c>
      <c r="U265" s="12" t="s">
        <v>160</v>
      </c>
      <c r="V265" s="12"/>
      <c r="W265" s="12"/>
      <c r="X265" s="12"/>
      <c r="Y265" s="12"/>
      <c r="Z265" s="12"/>
      <c r="AA265" s="12"/>
      <c r="AB265" s="12"/>
      <c r="AC265" s="12" t="str">
        <f>Table1[[#This Row],[City or Community (San Mateo County)]]</f>
        <v>San Mateo</v>
      </c>
      <c r="AD265" s="12">
        <f>COUNTIF(G:G,Table1[[#This Row],[City or Community (San Mateo County)]])</f>
        <v>56</v>
      </c>
      <c r="AE265" s="12" t="str">
        <f>Table1[[#This Row],[Please select your county]]</f>
        <v>San Mateo County</v>
      </c>
      <c r="AF265" s="41">
        <f>COUNTIF(AE:AE,Table1[[#This Row],[County]])</f>
        <v>124</v>
      </c>
      <c r="AG265" s="12">
        <v>2025</v>
      </c>
    </row>
    <row r="266" spans="1:33" ht="15.5" x14ac:dyDescent="0.35">
      <c r="A266" s="12">
        <v>413</v>
      </c>
      <c r="B266" s="12" t="s">
        <v>150</v>
      </c>
      <c r="C266" s="12"/>
      <c r="D266" s="12"/>
      <c r="E266" s="12"/>
      <c r="F266" s="12"/>
      <c r="G266" s="12" t="s">
        <v>22</v>
      </c>
      <c r="H266" s="12"/>
      <c r="I266" s="12"/>
      <c r="J266" s="12"/>
      <c r="K266" s="12" t="s">
        <v>287</v>
      </c>
      <c r="L266" s="12" t="s">
        <v>277</v>
      </c>
      <c r="M266" s="12" t="s">
        <v>269</v>
      </c>
      <c r="N266" s="12" t="s">
        <v>278</v>
      </c>
      <c r="O266" s="12" t="s">
        <v>38</v>
      </c>
      <c r="P266" s="12">
        <v>483</v>
      </c>
      <c r="Q266" s="12" t="s">
        <v>271</v>
      </c>
      <c r="R266" s="12" t="s">
        <v>79</v>
      </c>
      <c r="S266" s="12" t="s">
        <v>272</v>
      </c>
      <c r="T266" s="12" t="s">
        <v>159</v>
      </c>
      <c r="U266" s="12" t="s">
        <v>160</v>
      </c>
      <c r="V266" s="12"/>
      <c r="W266" s="12"/>
      <c r="X266" s="12"/>
      <c r="Y266" s="12"/>
      <c r="Z266" s="12"/>
      <c r="AA266" s="12"/>
      <c r="AB266" s="12"/>
      <c r="AC266" s="12" t="str">
        <f>Table1[[#This Row],[City or Community (San Mateo County)]]</f>
        <v>San Mateo</v>
      </c>
      <c r="AD266" s="12">
        <f>COUNTIF(G:G,Table1[[#This Row],[City or Community (San Mateo County)]])</f>
        <v>56</v>
      </c>
      <c r="AE266" s="12" t="str">
        <f>Table1[[#This Row],[Please select your county]]</f>
        <v>San Mateo County</v>
      </c>
      <c r="AF266" s="41">
        <f>COUNTIF(AE:AE,Table1[[#This Row],[County]])</f>
        <v>124</v>
      </c>
      <c r="AG266" s="12">
        <v>2025</v>
      </c>
    </row>
    <row r="267" spans="1:33" ht="31" x14ac:dyDescent="0.35">
      <c r="A267" s="12">
        <v>539</v>
      </c>
      <c r="B267" s="12" t="s">
        <v>150</v>
      </c>
      <c r="C267" s="12"/>
      <c r="D267" s="12"/>
      <c r="E267" s="12"/>
      <c r="F267" s="12"/>
      <c r="G267" s="12" t="s">
        <v>22</v>
      </c>
      <c r="H267" s="12"/>
      <c r="I267" s="12"/>
      <c r="J267" s="12"/>
      <c r="K267" s="10" t="s">
        <v>267</v>
      </c>
      <c r="L267" s="10" t="s">
        <v>312</v>
      </c>
      <c r="M267" s="10" t="s">
        <v>269</v>
      </c>
      <c r="N267" s="10" t="s">
        <v>280</v>
      </c>
      <c r="O267" s="12" t="s">
        <v>38</v>
      </c>
      <c r="P267" s="12">
        <v>483</v>
      </c>
      <c r="Q267" s="12" t="s">
        <v>281</v>
      </c>
      <c r="R267" s="12" t="s">
        <v>70</v>
      </c>
      <c r="S267" s="12" t="s">
        <v>284</v>
      </c>
      <c r="T267" s="12" t="s">
        <v>159</v>
      </c>
      <c r="U267" s="12" t="s">
        <v>160</v>
      </c>
      <c r="V267" s="12"/>
      <c r="W267" s="12"/>
      <c r="X267" s="12"/>
      <c r="Y267" s="12"/>
      <c r="Z267" s="12"/>
      <c r="AA267" s="12"/>
      <c r="AB267" s="12"/>
      <c r="AC267" s="12" t="str">
        <f>Table1[[#This Row],[City or Community (San Mateo County)]]</f>
        <v>San Mateo</v>
      </c>
      <c r="AD267" s="12">
        <f>COUNTIF(G:G,Table1[[#This Row],[City or Community (San Mateo County)]])</f>
        <v>56</v>
      </c>
      <c r="AE267" s="12" t="str">
        <f>Table1[[#This Row],[Please select your county]]</f>
        <v>San Mateo County</v>
      </c>
      <c r="AF267" s="41">
        <f>COUNTIF(AE:AE,Table1[[#This Row],[County]])</f>
        <v>124</v>
      </c>
      <c r="AG267" s="12">
        <v>2025</v>
      </c>
    </row>
    <row r="268" spans="1:33" ht="15.5" x14ac:dyDescent="0.35">
      <c r="A268" s="12">
        <v>260</v>
      </c>
      <c r="B268" s="12" t="s">
        <v>150</v>
      </c>
      <c r="C268" s="12"/>
      <c r="D268" s="12"/>
      <c r="E268" s="12"/>
      <c r="F268" s="12"/>
      <c r="G268" s="12" t="s">
        <v>22</v>
      </c>
      <c r="H268" s="12"/>
      <c r="I268" s="12"/>
      <c r="J268" s="12"/>
      <c r="K268" s="10" t="s">
        <v>267</v>
      </c>
      <c r="L268" s="10"/>
      <c r="M268" s="10"/>
      <c r="N268" s="10"/>
      <c r="O268" s="12" t="s">
        <v>38</v>
      </c>
      <c r="P268" s="12">
        <v>500</v>
      </c>
      <c r="Q268" s="12" t="s">
        <v>271</v>
      </c>
      <c r="R268" s="12" t="s">
        <v>68</v>
      </c>
      <c r="S268" s="12" t="s">
        <v>364</v>
      </c>
      <c r="T268" s="12" t="s">
        <v>159</v>
      </c>
      <c r="U268" s="12" t="s">
        <v>160</v>
      </c>
      <c r="V268" s="12"/>
      <c r="W268" s="12"/>
      <c r="X268" s="12"/>
      <c r="Y268" s="12"/>
      <c r="Z268" s="12"/>
      <c r="AA268" s="12"/>
      <c r="AB268" s="12"/>
      <c r="AC268" s="12" t="str">
        <f>Table1[[#This Row],[City or Community (San Mateo County)]]</f>
        <v>San Mateo</v>
      </c>
      <c r="AD268" s="12">
        <f>COUNTIF(G:G,Table1[[#This Row],[City or Community (San Mateo County)]])</f>
        <v>56</v>
      </c>
      <c r="AE268" s="12" t="str">
        <f>Table1[[#This Row],[Please select your county]]</f>
        <v>San Mateo County</v>
      </c>
      <c r="AF268" s="41">
        <f>COUNTIF(AE:AE,Table1[[#This Row],[County]])</f>
        <v>124</v>
      </c>
      <c r="AG268" s="12">
        <v>2025</v>
      </c>
    </row>
    <row r="269" spans="1:33" ht="15.5" x14ac:dyDescent="0.35">
      <c r="A269" s="12">
        <v>431</v>
      </c>
      <c r="B269" s="12" t="s">
        <v>150</v>
      </c>
      <c r="C269" s="12"/>
      <c r="D269" s="12"/>
      <c r="E269" s="12"/>
      <c r="F269" s="12"/>
      <c r="G269" s="12" t="s">
        <v>22</v>
      </c>
      <c r="H269" s="12"/>
      <c r="I269" s="12"/>
      <c r="J269" s="12"/>
      <c r="K269" s="10" t="s">
        <v>267</v>
      </c>
      <c r="L269" s="10" t="s">
        <v>312</v>
      </c>
      <c r="M269" s="10" t="s">
        <v>269</v>
      </c>
      <c r="N269" s="10" t="s">
        <v>288</v>
      </c>
      <c r="O269" s="12" t="s">
        <v>38</v>
      </c>
      <c r="P269" s="12">
        <v>500</v>
      </c>
      <c r="Q269" s="12" t="s">
        <v>295</v>
      </c>
      <c r="R269" s="12" t="s">
        <v>71</v>
      </c>
      <c r="S269" s="12" t="s">
        <v>365</v>
      </c>
      <c r="T269" s="12" t="s">
        <v>159</v>
      </c>
      <c r="U269" s="12" t="s">
        <v>160</v>
      </c>
      <c r="V269" s="12"/>
      <c r="W269" s="12"/>
      <c r="X269" s="12"/>
      <c r="Y269" s="12"/>
      <c r="Z269" s="12"/>
      <c r="AA269" s="12"/>
      <c r="AB269" s="12"/>
      <c r="AC269" s="12" t="str">
        <f>Table1[[#This Row],[City or Community (San Mateo County)]]</f>
        <v>San Mateo</v>
      </c>
      <c r="AD269" s="12">
        <f>COUNTIF(G:G,Table1[[#This Row],[City or Community (San Mateo County)]])</f>
        <v>56</v>
      </c>
      <c r="AE269" s="12" t="str">
        <f>Table1[[#This Row],[Please select your county]]</f>
        <v>San Mateo County</v>
      </c>
      <c r="AF269" s="41">
        <f>COUNTIF(AE:AE,Table1[[#This Row],[County]])</f>
        <v>124</v>
      </c>
      <c r="AG269" s="12">
        <v>2025</v>
      </c>
    </row>
    <row r="270" spans="1:33" ht="31" x14ac:dyDescent="0.35">
      <c r="A270" s="12">
        <v>261</v>
      </c>
      <c r="B270" s="12" t="s">
        <v>150</v>
      </c>
      <c r="C270" s="12"/>
      <c r="D270" s="12"/>
      <c r="E270" s="12"/>
      <c r="F270" s="12"/>
      <c r="G270" s="12" t="s">
        <v>22</v>
      </c>
      <c r="H270" s="12"/>
      <c r="I270" s="12"/>
      <c r="J270" s="12"/>
      <c r="K270" s="10" t="s">
        <v>366</v>
      </c>
      <c r="L270" s="10"/>
      <c r="M270" s="10"/>
      <c r="N270" s="10"/>
      <c r="O270" s="12" t="s">
        <v>38</v>
      </c>
      <c r="P270" s="12">
        <v>515</v>
      </c>
      <c r="Q270" s="12" t="s">
        <v>281</v>
      </c>
      <c r="R270" s="12" t="s">
        <v>71</v>
      </c>
      <c r="S270" s="12" t="s">
        <v>276</v>
      </c>
      <c r="T270" s="12" t="s">
        <v>159</v>
      </c>
      <c r="U270" s="12" t="s">
        <v>160</v>
      </c>
      <c r="V270" s="12"/>
      <c r="W270" s="12"/>
      <c r="X270" s="12"/>
      <c r="Y270" s="12"/>
      <c r="Z270" s="12"/>
      <c r="AA270" s="12"/>
      <c r="AB270" s="12"/>
      <c r="AC270" s="12" t="str">
        <f>Table1[[#This Row],[City or Community (San Mateo County)]]</f>
        <v>San Mateo</v>
      </c>
      <c r="AD270" s="12">
        <f>COUNTIF(G:G,Table1[[#This Row],[City or Community (San Mateo County)]])</f>
        <v>56</v>
      </c>
      <c r="AE270" s="12" t="str">
        <f>Table1[[#This Row],[Please select your county]]</f>
        <v>San Mateo County</v>
      </c>
      <c r="AF270" s="41">
        <f>COUNTIF(AE:AE,Table1[[#This Row],[County]])</f>
        <v>124</v>
      </c>
      <c r="AG270" s="12">
        <v>2025</v>
      </c>
    </row>
    <row r="271" spans="1:33" ht="31" x14ac:dyDescent="0.35">
      <c r="A271" s="12">
        <v>342</v>
      </c>
      <c r="B271" s="12" t="s">
        <v>150</v>
      </c>
      <c r="C271" s="12"/>
      <c r="D271" s="12"/>
      <c r="E271" s="12"/>
      <c r="F271" s="12"/>
      <c r="G271" s="12" t="s">
        <v>22</v>
      </c>
      <c r="H271" s="12"/>
      <c r="I271" s="12"/>
      <c r="J271" s="12"/>
      <c r="K271" s="10" t="s">
        <v>274</v>
      </c>
      <c r="L271" s="10" t="s">
        <v>277</v>
      </c>
      <c r="M271" s="10" t="s">
        <v>269</v>
      </c>
      <c r="N271" s="10" t="s">
        <v>280</v>
      </c>
      <c r="O271" s="12" t="s">
        <v>38</v>
      </c>
      <c r="P271" s="12">
        <v>575</v>
      </c>
      <c r="Q271" s="12" t="s">
        <v>271</v>
      </c>
      <c r="R271" s="12" t="s">
        <v>68</v>
      </c>
      <c r="S271" s="12" t="s">
        <v>276</v>
      </c>
      <c r="T271" s="12" t="s">
        <v>159</v>
      </c>
      <c r="U271" s="12" t="s">
        <v>160</v>
      </c>
      <c r="V271" s="12"/>
      <c r="W271" s="12"/>
      <c r="X271" s="12"/>
      <c r="Y271" s="12"/>
      <c r="Z271" s="12"/>
      <c r="AA271" s="12"/>
      <c r="AB271" s="12"/>
      <c r="AC271" s="12" t="str">
        <f>Table1[[#This Row],[City or Community (San Mateo County)]]</f>
        <v>San Mateo</v>
      </c>
      <c r="AD271" s="12">
        <f>COUNTIF(G:G,Table1[[#This Row],[City or Community (San Mateo County)]])</f>
        <v>56</v>
      </c>
      <c r="AE271" s="12" t="str">
        <f>Table1[[#This Row],[Please select your county]]</f>
        <v>San Mateo County</v>
      </c>
      <c r="AF271" s="41">
        <f>COUNTIF(AE:AE,Table1[[#This Row],[County]])</f>
        <v>124</v>
      </c>
      <c r="AG271" s="12">
        <v>2025</v>
      </c>
    </row>
    <row r="272" spans="1:33" ht="31" x14ac:dyDescent="0.35">
      <c r="A272" s="12">
        <v>356</v>
      </c>
      <c r="B272" s="12" t="s">
        <v>150</v>
      </c>
      <c r="C272" s="12"/>
      <c r="D272" s="12"/>
      <c r="E272" s="12"/>
      <c r="F272" s="12"/>
      <c r="G272" s="12" t="s">
        <v>22</v>
      </c>
      <c r="H272" s="12"/>
      <c r="I272" s="12"/>
      <c r="J272" s="12"/>
      <c r="K272" s="10" t="s">
        <v>283</v>
      </c>
      <c r="L272" s="10" t="s">
        <v>279</v>
      </c>
      <c r="M272" s="10" t="s">
        <v>269</v>
      </c>
      <c r="N272" s="10" t="s">
        <v>280</v>
      </c>
      <c r="O272" s="12" t="s">
        <v>38</v>
      </c>
      <c r="P272" s="12">
        <v>590</v>
      </c>
      <c r="Q272" s="12" t="s">
        <v>281</v>
      </c>
      <c r="R272" s="12" t="s">
        <v>165</v>
      </c>
      <c r="S272" s="12" t="s">
        <v>276</v>
      </c>
      <c r="T272" s="12" t="s">
        <v>159</v>
      </c>
      <c r="U272" s="12" t="s">
        <v>160</v>
      </c>
      <c r="V272" s="12"/>
      <c r="W272" s="12"/>
      <c r="X272" s="12"/>
      <c r="Y272" s="12"/>
      <c r="Z272" s="12"/>
      <c r="AA272" s="12"/>
      <c r="AB272" s="12"/>
      <c r="AC272" s="12" t="str">
        <f>Table1[[#This Row],[City or Community (San Mateo County)]]</f>
        <v>San Mateo</v>
      </c>
      <c r="AD272" s="12">
        <f>COUNTIF(G:G,Table1[[#This Row],[City or Community (San Mateo County)]])</f>
        <v>56</v>
      </c>
      <c r="AE272" s="12" t="str">
        <f>Table1[[#This Row],[Please select your county]]</f>
        <v>San Mateo County</v>
      </c>
      <c r="AF272" s="41">
        <f>COUNTIF(AE:AE,Table1[[#This Row],[County]])</f>
        <v>124</v>
      </c>
      <c r="AG272" s="12">
        <v>2025</v>
      </c>
    </row>
    <row r="273" spans="1:33" ht="15.5" x14ac:dyDescent="0.35">
      <c r="A273" s="12">
        <v>442</v>
      </c>
      <c r="B273" s="12" t="s">
        <v>150</v>
      </c>
      <c r="C273" s="12"/>
      <c r="D273" s="12"/>
      <c r="E273" s="12"/>
      <c r="F273" s="12"/>
      <c r="G273" s="12" t="s">
        <v>22</v>
      </c>
      <c r="H273" s="12"/>
      <c r="I273" s="12"/>
      <c r="J273" s="12"/>
      <c r="K273" s="10" t="s">
        <v>273</v>
      </c>
      <c r="L273" s="12" t="s">
        <v>312</v>
      </c>
      <c r="M273" s="12" t="s">
        <v>269</v>
      </c>
      <c r="N273" s="12" t="s">
        <v>280</v>
      </c>
      <c r="O273" s="12" t="s">
        <v>39</v>
      </c>
      <c r="P273" s="12">
        <v>594</v>
      </c>
      <c r="Q273" s="12" t="s">
        <v>271</v>
      </c>
      <c r="R273" s="12" t="s">
        <v>76</v>
      </c>
      <c r="S273" s="12" t="s">
        <v>276</v>
      </c>
      <c r="T273" s="12" t="s">
        <v>159</v>
      </c>
      <c r="U273" s="12" t="s">
        <v>160</v>
      </c>
      <c r="V273" s="12"/>
      <c r="W273" s="12"/>
      <c r="X273" s="12"/>
      <c r="Y273" s="12"/>
      <c r="Z273" s="12"/>
      <c r="AA273" s="12"/>
      <c r="AB273" s="12"/>
      <c r="AC273" s="12" t="str">
        <f>Table1[[#This Row],[City or Community (San Mateo County)]]</f>
        <v>San Mateo</v>
      </c>
      <c r="AD273" s="12">
        <f>COUNTIF(G:G,Table1[[#This Row],[City or Community (San Mateo County)]])</f>
        <v>56</v>
      </c>
      <c r="AE273" s="12" t="str">
        <f>Table1[[#This Row],[Please select your county]]</f>
        <v>San Mateo County</v>
      </c>
      <c r="AF273" s="41">
        <f>COUNTIF(AE:AE,Table1[[#This Row],[County]])</f>
        <v>124</v>
      </c>
      <c r="AG273" s="12">
        <v>2025</v>
      </c>
    </row>
    <row r="274" spans="1:33" ht="15.5" x14ac:dyDescent="0.35">
      <c r="A274" s="12">
        <v>354</v>
      </c>
      <c r="B274" s="12" t="s">
        <v>150</v>
      </c>
      <c r="C274" s="12"/>
      <c r="D274" s="12"/>
      <c r="E274" s="12"/>
      <c r="F274" s="12"/>
      <c r="G274" s="12" t="s">
        <v>22</v>
      </c>
      <c r="H274" s="12"/>
      <c r="I274" s="12"/>
      <c r="J274" s="12"/>
      <c r="K274" s="10" t="s">
        <v>267</v>
      </c>
      <c r="L274" s="10" t="s">
        <v>279</v>
      </c>
      <c r="M274" s="10" t="s">
        <v>269</v>
      </c>
      <c r="N274" s="10" t="s">
        <v>270</v>
      </c>
      <c r="O274" s="12" t="s">
        <v>38</v>
      </c>
      <c r="P274" s="12">
        <v>600</v>
      </c>
      <c r="Q274" s="12" t="s">
        <v>281</v>
      </c>
      <c r="R274" s="12" t="s">
        <v>71</v>
      </c>
      <c r="S274" s="12" t="s">
        <v>276</v>
      </c>
      <c r="T274" s="12" t="s">
        <v>159</v>
      </c>
      <c r="U274" s="12" t="s">
        <v>160</v>
      </c>
      <c r="V274" s="12"/>
      <c r="W274" s="12"/>
      <c r="X274" s="12"/>
      <c r="Y274" s="12"/>
      <c r="Z274" s="12"/>
      <c r="AA274" s="12"/>
      <c r="AB274" s="12"/>
      <c r="AC274" s="12" t="str">
        <f>Table1[[#This Row],[City or Community (San Mateo County)]]</f>
        <v>San Mateo</v>
      </c>
      <c r="AD274" s="12">
        <f>COUNTIF(G:G,Table1[[#This Row],[City or Community (San Mateo County)]])</f>
        <v>56</v>
      </c>
      <c r="AE274" s="12" t="str">
        <f>Table1[[#This Row],[Please select your county]]</f>
        <v>San Mateo County</v>
      </c>
      <c r="AF274" s="41">
        <f>COUNTIF(AE:AE,Table1[[#This Row],[County]])</f>
        <v>124</v>
      </c>
      <c r="AG274" s="12">
        <v>2025</v>
      </c>
    </row>
    <row r="275" spans="1:33" ht="15.5" x14ac:dyDescent="0.35">
      <c r="A275" s="12">
        <v>331</v>
      </c>
      <c r="B275" s="12" t="s">
        <v>150</v>
      </c>
      <c r="C275" s="12"/>
      <c r="D275" s="12"/>
      <c r="E275" s="12"/>
      <c r="F275" s="12"/>
      <c r="G275" s="12" t="s">
        <v>22</v>
      </c>
      <c r="H275" s="12"/>
      <c r="I275" s="12"/>
      <c r="J275" s="12"/>
      <c r="K275" s="10" t="s">
        <v>267</v>
      </c>
      <c r="L275" s="10"/>
      <c r="M275" s="10"/>
      <c r="N275" s="10"/>
      <c r="O275" s="12" t="s">
        <v>38</v>
      </c>
      <c r="P275" s="12">
        <v>602</v>
      </c>
      <c r="Q275" s="12" t="s">
        <v>281</v>
      </c>
      <c r="R275" s="12" t="s">
        <v>70</v>
      </c>
      <c r="S275" s="12" t="s">
        <v>276</v>
      </c>
      <c r="T275" s="12" t="s">
        <v>159</v>
      </c>
      <c r="U275" s="12" t="s">
        <v>159</v>
      </c>
      <c r="V275" s="12" t="s">
        <v>163</v>
      </c>
      <c r="W275" s="12" t="s">
        <v>299</v>
      </c>
      <c r="X275" s="12"/>
      <c r="Y275" s="12" t="s">
        <v>290</v>
      </c>
      <c r="Z275" s="12"/>
      <c r="AA275" s="12" t="s">
        <v>300</v>
      </c>
      <c r="AB275" s="12" t="s">
        <v>165</v>
      </c>
      <c r="AC275" s="12" t="str">
        <f>Table1[[#This Row],[City or Community (San Mateo County)]]</f>
        <v>San Mateo</v>
      </c>
      <c r="AD275" s="12">
        <f>COUNTIF(G:G,Table1[[#This Row],[City or Community (San Mateo County)]])</f>
        <v>56</v>
      </c>
      <c r="AE275" s="12" t="str">
        <f>Table1[[#This Row],[Please select your county]]</f>
        <v>San Mateo County</v>
      </c>
      <c r="AF275" s="41">
        <f>COUNTIF(AE:AE,Table1[[#This Row],[County]])</f>
        <v>124</v>
      </c>
      <c r="AG275" s="12">
        <v>2025</v>
      </c>
    </row>
    <row r="276" spans="1:33" ht="15.5" x14ac:dyDescent="0.35">
      <c r="A276" s="12">
        <v>389</v>
      </c>
      <c r="B276" s="12" t="s">
        <v>150</v>
      </c>
      <c r="C276" s="12"/>
      <c r="D276" s="12"/>
      <c r="E276" s="12"/>
      <c r="F276" s="12"/>
      <c r="G276" s="12" t="s">
        <v>22</v>
      </c>
      <c r="H276" s="12"/>
      <c r="I276" s="12"/>
      <c r="J276" s="12"/>
      <c r="K276" s="10" t="s">
        <v>273</v>
      </c>
      <c r="L276" s="10" t="s">
        <v>312</v>
      </c>
      <c r="M276" s="10" t="s">
        <v>269</v>
      </c>
      <c r="N276" s="10" t="s">
        <v>288</v>
      </c>
      <c r="O276" s="12" t="s">
        <v>39</v>
      </c>
      <c r="P276" s="12">
        <v>627</v>
      </c>
      <c r="Q276" s="12" t="s">
        <v>281</v>
      </c>
      <c r="R276" s="12" t="s">
        <v>76</v>
      </c>
      <c r="S276" s="12" t="s">
        <v>272</v>
      </c>
      <c r="T276" s="12" t="s">
        <v>159</v>
      </c>
      <c r="U276" s="12" t="s">
        <v>159</v>
      </c>
      <c r="V276" s="12" t="s">
        <v>163</v>
      </c>
      <c r="W276" s="12" t="s">
        <v>353</v>
      </c>
      <c r="X276" s="12"/>
      <c r="Y276" s="12" t="s">
        <v>290</v>
      </c>
      <c r="Z276" s="12"/>
      <c r="AA276" s="12" t="s">
        <v>295</v>
      </c>
      <c r="AB276" s="12" t="s">
        <v>165</v>
      </c>
      <c r="AC276" s="12" t="str">
        <f>Table1[[#This Row],[City or Community (San Mateo County)]]</f>
        <v>San Mateo</v>
      </c>
      <c r="AD276" s="12">
        <f>COUNTIF(G:G,Table1[[#This Row],[City or Community (San Mateo County)]])</f>
        <v>56</v>
      </c>
      <c r="AE276" s="12" t="str">
        <f>Table1[[#This Row],[Please select your county]]</f>
        <v>San Mateo County</v>
      </c>
      <c r="AF276" s="41">
        <f>COUNTIF(AE:AE,Table1[[#This Row],[County]])</f>
        <v>124</v>
      </c>
      <c r="AG276" s="12">
        <v>2025</v>
      </c>
    </row>
    <row r="277" spans="1:33" ht="15.5" x14ac:dyDescent="0.35">
      <c r="A277" s="12">
        <v>490</v>
      </c>
      <c r="B277" s="12" t="s">
        <v>150</v>
      </c>
      <c r="C277" s="12"/>
      <c r="D277" s="12"/>
      <c r="E277" s="12"/>
      <c r="F277" s="12"/>
      <c r="G277" s="12" t="s">
        <v>22</v>
      </c>
      <c r="H277" s="12"/>
      <c r="I277" s="12"/>
      <c r="J277" s="12"/>
      <c r="K277" s="10" t="s">
        <v>273</v>
      </c>
      <c r="L277" s="10" t="s">
        <v>312</v>
      </c>
      <c r="M277" s="10" t="s">
        <v>269</v>
      </c>
      <c r="N277" s="10" t="s">
        <v>288</v>
      </c>
      <c r="O277" s="12" t="s">
        <v>39</v>
      </c>
      <c r="P277" s="12">
        <v>627</v>
      </c>
      <c r="Q277" s="12" t="s">
        <v>281</v>
      </c>
      <c r="R277" s="12" t="s">
        <v>76</v>
      </c>
      <c r="S277" s="12" t="s">
        <v>276</v>
      </c>
      <c r="T277" s="12" t="s">
        <v>159</v>
      </c>
      <c r="U277" s="12" t="s">
        <v>160</v>
      </c>
      <c r="V277" s="12"/>
      <c r="W277" s="12"/>
      <c r="X277" s="12"/>
      <c r="Y277" s="12"/>
      <c r="Z277" s="12"/>
      <c r="AA277" s="12"/>
      <c r="AB277" s="12"/>
      <c r="AC277" s="12" t="str">
        <f>Table1[[#This Row],[City or Community (San Mateo County)]]</f>
        <v>San Mateo</v>
      </c>
      <c r="AD277" s="12">
        <f>COUNTIF(G:G,Table1[[#This Row],[City or Community (San Mateo County)]])</f>
        <v>56</v>
      </c>
      <c r="AE277" s="12" t="str">
        <f>Table1[[#This Row],[Please select your county]]</f>
        <v>San Mateo County</v>
      </c>
      <c r="AF277" s="41">
        <f>COUNTIF(AE:AE,Table1[[#This Row],[County]])</f>
        <v>124</v>
      </c>
      <c r="AG277" s="12">
        <v>2025</v>
      </c>
    </row>
    <row r="278" spans="1:33" ht="15.5" x14ac:dyDescent="0.35">
      <c r="A278" s="12">
        <v>461</v>
      </c>
      <c r="B278" s="12" t="s">
        <v>150</v>
      </c>
      <c r="C278" s="12"/>
      <c r="D278" s="12"/>
      <c r="E278" s="12"/>
      <c r="F278" s="12"/>
      <c r="G278" s="12" t="s">
        <v>22</v>
      </c>
      <c r="H278" s="12"/>
      <c r="I278" s="12"/>
      <c r="J278" s="12"/>
      <c r="K278" s="12" t="s">
        <v>274</v>
      </c>
      <c r="L278" s="12" t="s">
        <v>312</v>
      </c>
      <c r="M278" s="12" t="s">
        <v>269</v>
      </c>
      <c r="N278" s="12" t="s">
        <v>280</v>
      </c>
      <c r="O278" s="12" t="s">
        <v>38</v>
      </c>
      <c r="P278" s="12">
        <v>630</v>
      </c>
      <c r="Q278" s="12" t="s">
        <v>295</v>
      </c>
      <c r="R278" s="12" t="s">
        <v>79</v>
      </c>
      <c r="S278" s="12" t="s">
        <v>272</v>
      </c>
      <c r="T278" s="12" t="s">
        <v>83</v>
      </c>
      <c r="U278" s="12" t="s">
        <v>160</v>
      </c>
      <c r="V278" s="12"/>
      <c r="W278" s="12"/>
      <c r="X278" s="12"/>
      <c r="Y278" s="12"/>
      <c r="Z278" s="12"/>
      <c r="AA278" s="12"/>
      <c r="AB278" s="12"/>
      <c r="AC278" s="12" t="str">
        <f>Table1[[#This Row],[City or Community (San Mateo County)]]</f>
        <v>San Mateo</v>
      </c>
      <c r="AD278" s="12">
        <f>COUNTIF(G:G,Table1[[#This Row],[City or Community (San Mateo County)]])</f>
        <v>56</v>
      </c>
      <c r="AE278" s="12" t="str">
        <f>Table1[[#This Row],[Please select your county]]</f>
        <v>San Mateo County</v>
      </c>
      <c r="AF278" s="41">
        <f>COUNTIF(AE:AE,Table1[[#This Row],[County]])</f>
        <v>124</v>
      </c>
      <c r="AG278" s="12">
        <v>2025</v>
      </c>
    </row>
    <row r="279" spans="1:33" ht="31" x14ac:dyDescent="0.35">
      <c r="A279" s="12">
        <v>385</v>
      </c>
      <c r="B279" s="12" t="s">
        <v>150</v>
      </c>
      <c r="C279" s="12"/>
      <c r="D279" s="12"/>
      <c r="E279" s="12"/>
      <c r="F279" s="12"/>
      <c r="G279" s="12" t="s">
        <v>22</v>
      </c>
      <c r="H279" s="12"/>
      <c r="I279" s="12"/>
      <c r="J279" s="12"/>
      <c r="K279" s="10" t="s">
        <v>321</v>
      </c>
      <c r="L279" s="10" t="s">
        <v>312</v>
      </c>
      <c r="M279" s="10" t="s">
        <v>269</v>
      </c>
      <c r="N279" s="10" t="s">
        <v>278</v>
      </c>
      <c r="O279" s="12" t="s">
        <v>38</v>
      </c>
      <c r="P279" s="12">
        <v>640</v>
      </c>
      <c r="Q279" s="12" t="s">
        <v>295</v>
      </c>
      <c r="R279" s="12" t="s">
        <v>79</v>
      </c>
      <c r="S279" s="12" t="s">
        <v>304</v>
      </c>
      <c r="T279" s="12" t="s">
        <v>159</v>
      </c>
      <c r="U279" s="12" t="s">
        <v>159</v>
      </c>
      <c r="V279" s="12" t="s">
        <v>164</v>
      </c>
      <c r="W279" s="12" t="s">
        <v>289</v>
      </c>
      <c r="X279" s="12"/>
      <c r="Y279" s="12" t="s">
        <v>290</v>
      </c>
      <c r="Z279" s="12"/>
      <c r="AA279" s="12" t="s">
        <v>295</v>
      </c>
      <c r="AB279" s="12" t="s">
        <v>186</v>
      </c>
      <c r="AC279" s="12" t="str">
        <f>Table1[[#This Row],[City or Community (San Mateo County)]]</f>
        <v>San Mateo</v>
      </c>
      <c r="AD279" s="12">
        <f>COUNTIF(G:G,Table1[[#This Row],[City or Community (San Mateo County)]])</f>
        <v>56</v>
      </c>
      <c r="AE279" s="12" t="str">
        <f>Table1[[#This Row],[Please select your county]]</f>
        <v>San Mateo County</v>
      </c>
      <c r="AF279" s="41">
        <f>COUNTIF(AE:AE,Table1[[#This Row],[County]])</f>
        <v>124</v>
      </c>
      <c r="AG279" s="12">
        <v>2025</v>
      </c>
    </row>
    <row r="280" spans="1:33" ht="15.5" x14ac:dyDescent="0.35">
      <c r="A280" s="12">
        <v>299</v>
      </c>
      <c r="B280" s="12" t="s">
        <v>150</v>
      </c>
      <c r="C280" s="12"/>
      <c r="D280" s="12"/>
      <c r="E280" s="12"/>
      <c r="F280" s="12"/>
      <c r="G280" s="12" t="s">
        <v>22</v>
      </c>
      <c r="H280" s="12"/>
      <c r="I280" s="12"/>
      <c r="J280" s="12"/>
      <c r="K280" s="10" t="s">
        <v>294</v>
      </c>
      <c r="L280" s="10"/>
      <c r="M280" s="10"/>
      <c r="N280" s="10"/>
      <c r="O280" s="12" t="s">
        <v>38</v>
      </c>
      <c r="P280" s="12">
        <v>700</v>
      </c>
      <c r="Q280" s="12" t="s">
        <v>281</v>
      </c>
      <c r="R280" s="12" t="s">
        <v>79</v>
      </c>
      <c r="S280" s="12" t="s">
        <v>276</v>
      </c>
      <c r="T280" s="12" t="s">
        <v>83</v>
      </c>
      <c r="U280" s="12" t="s">
        <v>160</v>
      </c>
      <c r="V280" s="12"/>
      <c r="W280" s="12"/>
      <c r="X280" s="12"/>
      <c r="Y280" s="12"/>
      <c r="Z280" s="12"/>
      <c r="AA280" s="12"/>
      <c r="AB280" s="12"/>
      <c r="AC280" s="12" t="str">
        <f>Table1[[#This Row],[City or Community (San Mateo County)]]</f>
        <v>San Mateo</v>
      </c>
      <c r="AD280" s="12">
        <f>COUNTIF(G:G,Table1[[#This Row],[City or Community (San Mateo County)]])</f>
        <v>56</v>
      </c>
      <c r="AE280" s="12" t="str">
        <f>Table1[[#This Row],[Please select your county]]</f>
        <v>San Mateo County</v>
      </c>
      <c r="AF280" s="41">
        <f>COUNTIF(AE:AE,Table1[[#This Row],[County]])</f>
        <v>124</v>
      </c>
      <c r="AG280" s="12">
        <v>2025</v>
      </c>
    </row>
    <row r="281" spans="1:33" ht="31" x14ac:dyDescent="0.35">
      <c r="A281" s="12">
        <v>459</v>
      </c>
      <c r="B281" s="12" t="s">
        <v>150</v>
      </c>
      <c r="C281" s="12"/>
      <c r="D281" s="12"/>
      <c r="E281" s="12"/>
      <c r="F281" s="12"/>
      <c r="G281" s="12" t="s">
        <v>22</v>
      </c>
      <c r="H281" s="12"/>
      <c r="I281" s="12"/>
      <c r="J281" s="12"/>
      <c r="K281" s="10" t="s">
        <v>267</v>
      </c>
      <c r="L281" s="10" t="s">
        <v>279</v>
      </c>
      <c r="M281" s="10" t="s">
        <v>269</v>
      </c>
      <c r="N281" s="10" t="s">
        <v>280</v>
      </c>
      <c r="O281" s="12" t="s">
        <v>38</v>
      </c>
      <c r="P281" s="12">
        <v>700</v>
      </c>
      <c r="Q281" s="12" t="s">
        <v>295</v>
      </c>
      <c r="R281" s="12" t="s">
        <v>72</v>
      </c>
      <c r="S281" s="12" t="s">
        <v>276</v>
      </c>
      <c r="T281" s="12" t="s">
        <v>159</v>
      </c>
      <c r="U281" s="12" t="s">
        <v>160</v>
      </c>
      <c r="V281" s="12"/>
      <c r="W281" s="12"/>
      <c r="X281" s="12"/>
      <c r="Y281" s="12"/>
      <c r="Z281" s="12"/>
      <c r="AA281" s="12"/>
      <c r="AB281" s="12"/>
      <c r="AC281" s="12" t="str">
        <f>Table1[[#This Row],[City or Community (San Mateo County)]]</f>
        <v>San Mateo</v>
      </c>
      <c r="AD281" s="12">
        <f>COUNTIF(G:G,Table1[[#This Row],[City or Community (San Mateo County)]])</f>
        <v>56</v>
      </c>
      <c r="AE281" s="12" t="str">
        <f>Table1[[#This Row],[Please select your county]]</f>
        <v>San Mateo County</v>
      </c>
      <c r="AF281" s="41">
        <f>COUNTIF(AE:AE,Table1[[#This Row],[County]])</f>
        <v>124</v>
      </c>
      <c r="AG281" s="12">
        <v>2025</v>
      </c>
    </row>
    <row r="282" spans="1:33" ht="15.5" x14ac:dyDescent="0.35">
      <c r="A282" s="12">
        <v>310</v>
      </c>
      <c r="B282" s="12" t="s">
        <v>150</v>
      </c>
      <c r="C282" s="12"/>
      <c r="D282" s="12"/>
      <c r="E282" s="12"/>
      <c r="F282" s="12"/>
      <c r="G282" s="12" t="s">
        <v>22</v>
      </c>
      <c r="H282" s="12"/>
      <c r="I282" s="12"/>
      <c r="J282" s="12"/>
      <c r="K282" s="10" t="s">
        <v>274</v>
      </c>
      <c r="L282" s="10"/>
      <c r="M282" s="10"/>
      <c r="N282" s="10"/>
      <c r="O282" s="12" t="s">
        <v>38</v>
      </c>
      <c r="P282" s="12">
        <v>750</v>
      </c>
      <c r="Q282" s="12" t="s">
        <v>281</v>
      </c>
      <c r="R282" s="12" t="s">
        <v>67</v>
      </c>
      <c r="S282" s="12" t="s">
        <v>272</v>
      </c>
      <c r="T282" s="12" t="s">
        <v>159</v>
      </c>
      <c r="U282" s="12" t="s">
        <v>159</v>
      </c>
      <c r="V282" s="12" t="s">
        <v>163</v>
      </c>
      <c r="W282" s="12" t="s">
        <v>289</v>
      </c>
      <c r="X282" s="12"/>
      <c r="Y282" s="12" t="s">
        <v>290</v>
      </c>
      <c r="Z282" s="12"/>
      <c r="AA282" s="12" t="s">
        <v>295</v>
      </c>
      <c r="AB282" s="12" t="s">
        <v>188</v>
      </c>
      <c r="AC282" s="12" t="str">
        <f>Table1[[#This Row],[City or Community (San Mateo County)]]</f>
        <v>San Mateo</v>
      </c>
      <c r="AD282" s="12">
        <f>COUNTIF(G:G,Table1[[#This Row],[City or Community (San Mateo County)]])</f>
        <v>56</v>
      </c>
      <c r="AE282" s="12" t="str">
        <f>Table1[[#This Row],[Please select your county]]</f>
        <v>San Mateo County</v>
      </c>
      <c r="AF282" s="41">
        <f>COUNTIF(AE:AE,Table1[[#This Row],[County]])</f>
        <v>124</v>
      </c>
      <c r="AG282" s="12">
        <v>2025</v>
      </c>
    </row>
    <row r="283" spans="1:33" ht="15.5" x14ac:dyDescent="0.35">
      <c r="A283" s="12">
        <v>311</v>
      </c>
      <c r="B283" s="12" t="s">
        <v>150</v>
      </c>
      <c r="C283" s="12"/>
      <c r="D283" s="12"/>
      <c r="E283" s="12"/>
      <c r="F283" s="12"/>
      <c r="G283" s="12" t="s">
        <v>22</v>
      </c>
      <c r="H283" s="12"/>
      <c r="I283" s="12"/>
      <c r="J283" s="12"/>
      <c r="K283" s="10" t="s">
        <v>267</v>
      </c>
      <c r="L283" s="10"/>
      <c r="M283" s="10"/>
      <c r="N283" s="10"/>
      <c r="O283" s="12" t="s">
        <v>38</v>
      </c>
      <c r="P283" s="12">
        <v>798</v>
      </c>
      <c r="Q283" s="12" t="s">
        <v>295</v>
      </c>
      <c r="R283" s="12" t="s">
        <v>70</v>
      </c>
      <c r="S283" s="12" t="s">
        <v>275</v>
      </c>
      <c r="T283" s="12" t="s">
        <v>159</v>
      </c>
      <c r="U283" s="12" t="s">
        <v>160</v>
      </c>
      <c r="V283" s="12"/>
      <c r="W283" s="12"/>
      <c r="X283" s="12"/>
      <c r="Y283" s="12"/>
      <c r="Z283" s="12"/>
      <c r="AA283" s="12"/>
      <c r="AB283" s="12"/>
      <c r="AC283" s="12" t="str">
        <f>Table1[[#This Row],[City or Community (San Mateo County)]]</f>
        <v>San Mateo</v>
      </c>
      <c r="AD283" s="12">
        <f>COUNTIF(G:G,Table1[[#This Row],[City or Community (San Mateo County)]])</f>
        <v>56</v>
      </c>
      <c r="AE283" s="12" t="str">
        <f>Table1[[#This Row],[Please select your county]]</f>
        <v>San Mateo County</v>
      </c>
      <c r="AF283" s="41">
        <f>COUNTIF(AE:AE,Table1[[#This Row],[County]])</f>
        <v>124</v>
      </c>
      <c r="AG283" s="12">
        <v>2025</v>
      </c>
    </row>
    <row r="284" spans="1:33" ht="31" x14ac:dyDescent="0.35">
      <c r="A284" s="12">
        <v>450</v>
      </c>
      <c r="B284" s="12" t="s">
        <v>150</v>
      </c>
      <c r="C284" s="12"/>
      <c r="D284" s="12"/>
      <c r="E284" s="12"/>
      <c r="F284" s="12"/>
      <c r="G284" s="12" t="s">
        <v>22</v>
      </c>
      <c r="H284" s="12"/>
      <c r="I284" s="12"/>
      <c r="J284" s="12"/>
      <c r="K284" s="10" t="s">
        <v>267</v>
      </c>
      <c r="L284" s="10" t="s">
        <v>279</v>
      </c>
      <c r="M284" s="10" t="s">
        <v>269</v>
      </c>
      <c r="N284" s="10" t="s">
        <v>278</v>
      </c>
      <c r="O284" s="12" t="s">
        <v>38</v>
      </c>
      <c r="P284" s="12">
        <v>798</v>
      </c>
      <c r="Q284" s="12" t="s">
        <v>295</v>
      </c>
      <c r="R284" s="12" t="s">
        <v>73</v>
      </c>
      <c r="S284" s="12" t="s">
        <v>282</v>
      </c>
      <c r="T284" s="12" t="s">
        <v>159</v>
      </c>
      <c r="U284" s="12" t="s">
        <v>160</v>
      </c>
      <c r="V284" s="12"/>
      <c r="W284" s="12"/>
      <c r="X284" s="12"/>
      <c r="Y284" s="12"/>
      <c r="Z284" s="12"/>
      <c r="AA284" s="12"/>
      <c r="AB284" s="12"/>
      <c r="AC284" s="12" t="str">
        <f>Table1[[#This Row],[City or Community (San Mateo County)]]</f>
        <v>San Mateo</v>
      </c>
      <c r="AD284" s="12">
        <f>COUNTIF(G:G,Table1[[#This Row],[City or Community (San Mateo County)]])</f>
        <v>56</v>
      </c>
      <c r="AE284" s="12" t="str">
        <f>Table1[[#This Row],[Please select your county]]</f>
        <v>San Mateo County</v>
      </c>
      <c r="AF284" s="41">
        <f>COUNTIF(AE:AE,Table1[[#This Row],[County]])</f>
        <v>124</v>
      </c>
      <c r="AG284" s="12">
        <v>2025</v>
      </c>
    </row>
    <row r="285" spans="1:33" ht="15.5" x14ac:dyDescent="0.35">
      <c r="A285" s="12">
        <v>317</v>
      </c>
      <c r="B285" s="12" t="s">
        <v>150</v>
      </c>
      <c r="C285" s="12"/>
      <c r="D285" s="12"/>
      <c r="E285" s="12"/>
      <c r="F285" s="12"/>
      <c r="G285" s="12" t="s">
        <v>22</v>
      </c>
      <c r="H285" s="12"/>
      <c r="I285" s="12"/>
      <c r="J285" s="12"/>
      <c r="K285" s="10" t="s">
        <v>267</v>
      </c>
      <c r="L285" s="10"/>
      <c r="M285" s="10"/>
      <c r="N285" s="10"/>
      <c r="O285" s="12" t="s">
        <v>38</v>
      </c>
      <c r="P285" s="12">
        <v>798</v>
      </c>
      <c r="Q285" s="12" t="s">
        <v>295</v>
      </c>
      <c r="R285" s="12" t="s">
        <v>165</v>
      </c>
      <c r="S285" s="12" t="s">
        <v>282</v>
      </c>
      <c r="T285" s="12" t="s">
        <v>159</v>
      </c>
      <c r="U285" s="12" t="s">
        <v>160</v>
      </c>
      <c r="V285" s="12"/>
      <c r="W285" s="12"/>
      <c r="X285" s="12"/>
      <c r="Y285" s="12"/>
      <c r="Z285" s="12"/>
      <c r="AA285" s="12"/>
      <c r="AB285" s="12"/>
      <c r="AC285" s="12" t="str">
        <f>Table1[[#This Row],[City or Community (San Mateo County)]]</f>
        <v>San Mateo</v>
      </c>
      <c r="AD285" s="12">
        <f>COUNTIF(G:G,Table1[[#This Row],[City or Community (San Mateo County)]])</f>
        <v>56</v>
      </c>
      <c r="AE285" s="12" t="str">
        <f>Table1[[#This Row],[Please select your county]]</f>
        <v>San Mateo County</v>
      </c>
      <c r="AF285" s="41">
        <f>COUNTIF(AE:AE,Table1[[#This Row],[County]])</f>
        <v>124</v>
      </c>
      <c r="AG285" s="12">
        <v>2025</v>
      </c>
    </row>
    <row r="286" spans="1:33" ht="15.5" x14ac:dyDescent="0.35">
      <c r="A286" s="12">
        <v>511</v>
      </c>
      <c r="B286" s="12" t="s">
        <v>150</v>
      </c>
      <c r="C286" s="12"/>
      <c r="D286" s="12"/>
      <c r="E286" s="12"/>
      <c r="F286" s="12"/>
      <c r="G286" s="12" t="s">
        <v>22</v>
      </c>
      <c r="H286" s="12"/>
      <c r="I286" s="12"/>
      <c r="J286" s="12"/>
      <c r="K286" s="12" t="s">
        <v>267</v>
      </c>
      <c r="L286" s="12" t="s">
        <v>277</v>
      </c>
      <c r="M286" s="12" t="s">
        <v>269</v>
      </c>
      <c r="N286" s="12" t="s">
        <v>280</v>
      </c>
      <c r="O286" s="12" t="s">
        <v>38</v>
      </c>
      <c r="P286" s="12">
        <v>799</v>
      </c>
      <c r="Q286" s="12" t="s">
        <v>326</v>
      </c>
      <c r="R286" s="12" t="s">
        <v>71</v>
      </c>
      <c r="S286" s="12" t="s">
        <v>322</v>
      </c>
      <c r="T286" s="12" t="s">
        <v>159</v>
      </c>
      <c r="U286" s="12" t="s">
        <v>160</v>
      </c>
      <c r="V286" s="12"/>
      <c r="W286" s="12"/>
      <c r="X286" s="12"/>
      <c r="Y286" s="12"/>
      <c r="Z286" s="12"/>
      <c r="AA286" s="12"/>
      <c r="AB286" s="12"/>
      <c r="AC286" s="12" t="str">
        <f>Table1[[#This Row],[City or Community (San Mateo County)]]</f>
        <v>San Mateo</v>
      </c>
      <c r="AD286" s="12">
        <f>COUNTIF(G:G,Table1[[#This Row],[City or Community (San Mateo County)]])</f>
        <v>56</v>
      </c>
      <c r="AE286" s="12" t="str">
        <f>Table1[[#This Row],[Please select your county]]</f>
        <v>San Mateo County</v>
      </c>
      <c r="AF286" s="41">
        <f>COUNTIF(AE:AE,Table1[[#This Row],[County]])</f>
        <v>124</v>
      </c>
      <c r="AG286" s="12">
        <v>2025</v>
      </c>
    </row>
    <row r="287" spans="1:33" ht="31" x14ac:dyDescent="0.35">
      <c r="A287" s="12">
        <v>411</v>
      </c>
      <c r="B287" s="12" t="s">
        <v>150</v>
      </c>
      <c r="C287" s="12"/>
      <c r="D287" s="12"/>
      <c r="E287" s="12"/>
      <c r="F287" s="12"/>
      <c r="G287" s="12" t="s">
        <v>22</v>
      </c>
      <c r="H287" s="12"/>
      <c r="I287" s="12"/>
      <c r="J287" s="12"/>
      <c r="K287" s="10" t="s">
        <v>274</v>
      </c>
      <c r="L287" s="10" t="s">
        <v>279</v>
      </c>
      <c r="M287" s="10" t="s">
        <v>317</v>
      </c>
      <c r="N287" s="10" t="s">
        <v>278</v>
      </c>
      <c r="O287" s="12" t="s">
        <v>38</v>
      </c>
      <c r="P287" s="12">
        <v>800</v>
      </c>
      <c r="Q287" s="12" t="s">
        <v>295</v>
      </c>
      <c r="R287" s="12" t="s">
        <v>70</v>
      </c>
      <c r="S287" s="12" t="s">
        <v>276</v>
      </c>
      <c r="T287" s="12" t="s">
        <v>159</v>
      </c>
      <c r="U287" s="12" t="s">
        <v>160</v>
      </c>
      <c r="V287" s="12"/>
      <c r="W287" s="12"/>
      <c r="X287" s="12"/>
      <c r="Y287" s="12"/>
      <c r="Z287" s="12"/>
      <c r="AA287" s="12"/>
      <c r="AB287" s="12"/>
      <c r="AC287" s="12" t="str">
        <f>Table1[[#This Row],[City or Community (San Mateo County)]]</f>
        <v>San Mateo</v>
      </c>
      <c r="AD287" s="12">
        <f>COUNTIF(G:G,Table1[[#This Row],[City or Community (San Mateo County)]])</f>
        <v>56</v>
      </c>
      <c r="AE287" s="12" t="str">
        <f>Table1[[#This Row],[Please select your county]]</f>
        <v>San Mateo County</v>
      </c>
      <c r="AF287" s="41">
        <f>COUNTIF(AE:AE,Table1[[#This Row],[County]])</f>
        <v>124</v>
      </c>
      <c r="AG287" s="12">
        <v>2025</v>
      </c>
    </row>
    <row r="288" spans="1:33" ht="15.5" x14ac:dyDescent="0.35">
      <c r="A288" s="12">
        <v>255</v>
      </c>
      <c r="B288" s="12" t="s">
        <v>150</v>
      </c>
      <c r="C288" s="12"/>
      <c r="D288" s="12"/>
      <c r="E288" s="12"/>
      <c r="F288" s="12"/>
      <c r="G288" s="12" t="s">
        <v>22</v>
      </c>
      <c r="H288" s="12"/>
      <c r="I288" s="12"/>
      <c r="J288" s="12"/>
      <c r="K288" s="10" t="s">
        <v>274</v>
      </c>
      <c r="L288" s="10"/>
      <c r="M288" s="10"/>
      <c r="N288" s="10"/>
      <c r="O288" s="12" t="s">
        <v>38</v>
      </c>
      <c r="P288" s="12">
        <v>800</v>
      </c>
      <c r="Q288" s="12" t="s">
        <v>295</v>
      </c>
      <c r="R288" s="12" t="s">
        <v>79</v>
      </c>
      <c r="S288" s="12" t="s">
        <v>284</v>
      </c>
      <c r="T288" s="12" t="s">
        <v>159</v>
      </c>
      <c r="U288" s="12" t="s">
        <v>160</v>
      </c>
      <c r="V288" s="12"/>
      <c r="W288" s="12"/>
      <c r="X288" s="12"/>
      <c r="Y288" s="12"/>
      <c r="Z288" s="12"/>
      <c r="AA288" s="12"/>
      <c r="AB288" s="12"/>
      <c r="AC288" s="12" t="str">
        <f>Table1[[#This Row],[City or Community (San Mateo County)]]</f>
        <v>San Mateo</v>
      </c>
      <c r="AD288" s="12">
        <f>COUNTIF(G:G,Table1[[#This Row],[City or Community (San Mateo County)]])</f>
        <v>56</v>
      </c>
      <c r="AE288" s="12" t="str">
        <f>Table1[[#This Row],[Please select your county]]</f>
        <v>San Mateo County</v>
      </c>
      <c r="AF288" s="41">
        <f>COUNTIF(AE:AE,Table1[[#This Row],[County]])</f>
        <v>124</v>
      </c>
      <c r="AG288" s="12">
        <v>2025</v>
      </c>
    </row>
    <row r="289" spans="1:33" ht="31" x14ac:dyDescent="0.35">
      <c r="A289" s="12">
        <v>401</v>
      </c>
      <c r="B289" s="12" t="s">
        <v>150</v>
      </c>
      <c r="C289" s="12"/>
      <c r="D289" s="12"/>
      <c r="E289" s="12"/>
      <c r="F289" s="12"/>
      <c r="G289" s="12" t="s">
        <v>22</v>
      </c>
      <c r="H289" s="12"/>
      <c r="I289" s="12"/>
      <c r="J289" s="12"/>
      <c r="K289" s="10" t="s">
        <v>293</v>
      </c>
      <c r="L289" s="10" t="s">
        <v>277</v>
      </c>
      <c r="M289" s="10" t="s">
        <v>269</v>
      </c>
      <c r="N289" s="10" t="s">
        <v>288</v>
      </c>
      <c r="O289" s="12" t="s">
        <v>38</v>
      </c>
      <c r="P289" s="12">
        <v>800</v>
      </c>
      <c r="Q289" s="12" t="s">
        <v>281</v>
      </c>
      <c r="R289" s="12" t="s">
        <v>165</v>
      </c>
      <c r="S289" s="12" t="s">
        <v>284</v>
      </c>
      <c r="T289" s="12" t="s">
        <v>159</v>
      </c>
      <c r="U289" s="12" t="s">
        <v>160</v>
      </c>
      <c r="V289" s="12"/>
      <c r="W289" s="12"/>
      <c r="X289" s="12"/>
      <c r="Y289" s="12"/>
      <c r="Z289" s="12"/>
      <c r="AA289" s="12"/>
      <c r="AB289" s="12"/>
      <c r="AC289" s="12" t="str">
        <f>Table1[[#This Row],[City or Community (San Mateo County)]]</f>
        <v>San Mateo</v>
      </c>
      <c r="AD289" s="12">
        <f>COUNTIF(G:G,Table1[[#This Row],[City or Community (San Mateo County)]])</f>
        <v>56</v>
      </c>
      <c r="AE289" s="12" t="str">
        <f>Table1[[#This Row],[Please select your county]]</f>
        <v>San Mateo County</v>
      </c>
      <c r="AF289" s="41">
        <f>COUNTIF(AE:AE,Table1[[#This Row],[County]])</f>
        <v>124</v>
      </c>
      <c r="AG289" s="12">
        <v>2025</v>
      </c>
    </row>
    <row r="290" spans="1:33" ht="15.5" x14ac:dyDescent="0.35">
      <c r="A290" s="12">
        <v>264</v>
      </c>
      <c r="B290" s="12" t="s">
        <v>150</v>
      </c>
      <c r="C290" s="12"/>
      <c r="D290" s="12"/>
      <c r="E290" s="12"/>
      <c r="F290" s="12"/>
      <c r="G290" s="12" t="s">
        <v>22</v>
      </c>
      <c r="H290" s="12"/>
      <c r="I290" s="12"/>
      <c r="J290" s="12"/>
      <c r="K290" s="10" t="s">
        <v>294</v>
      </c>
      <c r="L290" s="10"/>
      <c r="M290" s="10"/>
      <c r="N290" s="10"/>
      <c r="O290" s="12" t="s">
        <v>38</v>
      </c>
      <c r="P290" s="12">
        <v>835</v>
      </c>
      <c r="Q290" s="12" t="s">
        <v>281</v>
      </c>
      <c r="R290" s="12" t="s">
        <v>79</v>
      </c>
      <c r="S290" s="12" t="s">
        <v>276</v>
      </c>
      <c r="T290" s="12" t="s">
        <v>159</v>
      </c>
      <c r="U290" s="12" t="s">
        <v>160</v>
      </c>
      <c r="V290" s="12"/>
      <c r="W290" s="12"/>
      <c r="X290" s="12"/>
      <c r="Y290" s="12"/>
      <c r="Z290" s="12"/>
      <c r="AA290" s="12"/>
      <c r="AB290" s="12"/>
      <c r="AC290" s="12" t="str">
        <f>Table1[[#This Row],[City or Community (San Mateo County)]]</f>
        <v>San Mateo</v>
      </c>
      <c r="AD290" s="12">
        <f>COUNTIF(G:G,Table1[[#This Row],[City or Community (San Mateo County)]])</f>
        <v>56</v>
      </c>
      <c r="AE290" s="12" t="str">
        <f>Table1[[#This Row],[Please select your county]]</f>
        <v>San Mateo County</v>
      </c>
      <c r="AF290" s="41">
        <f>COUNTIF(AE:AE,Table1[[#This Row],[County]])</f>
        <v>124</v>
      </c>
      <c r="AG290" s="12">
        <v>2025</v>
      </c>
    </row>
    <row r="291" spans="1:33" ht="15.5" x14ac:dyDescent="0.35">
      <c r="A291" s="12">
        <v>606</v>
      </c>
      <c r="B291" s="12" t="s">
        <v>150</v>
      </c>
      <c r="C291" s="12"/>
      <c r="D291" s="12"/>
      <c r="E291" s="12"/>
      <c r="F291" s="12"/>
      <c r="G291" s="12" t="s">
        <v>22</v>
      </c>
      <c r="H291" s="12"/>
      <c r="I291" s="12"/>
      <c r="J291" s="12"/>
      <c r="K291" s="10" t="s">
        <v>273</v>
      </c>
      <c r="L291" s="12" t="s">
        <v>279</v>
      </c>
      <c r="M291" s="12" t="s">
        <v>269</v>
      </c>
      <c r="N291" s="12" t="s">
        <v>280</v>
      </c>
      <c r="O291" s="12" t="s">
        <v>39</v>
      </c>
      <c r="P291" s="12">
        <v>957</v>
      </c>
      <c r="Q291" s="12" t="s">
        <v>326</v>
      </c>
      <c r="R291" s="12" t="s">
        <v>76</v>
      </c>
      <c r="S291" s="12" t="s">
        <v>276</v>
      </c>
      <c r="T291" s="12" t="s">
        <v>83</v>
      </c>
      <c r="U291" s="12" t="s">
        <v>160</v>
      </c>
      <c r="V291" s="12"/>
      <c r="W291" s="12"/>
      <c r="X291" s="12"/>
      <c r="Y291" s="12"/>
      <c r="Z291" s="12"/>
      <c r="AA291" s="12"/>
      <c r="AB291" s="12"/>
      <c r="AC291" s="12" t="str">
        <f>Table1[[#This Row],[City or Community (San Mateo County)]]</f>
        <v>San Mateo</v>
      </c>
      <c r="AD291" s="12">
        <f>COUNTIF(G:G,Table1[[#This Row],[City or Community (San Mateo County)]])</f>
        <v>56</v>
      </c>
      <c r="AE291" s="12" t="str">
        <f>Table1[[#This Row],[Please select your county]]</f>
        <v>San Mateo County</v>
      </c>
      <c r="AF291" s="41">
        <f>COUNTIF(AE:AE,Table1[[#This Row],[County]])</f>
        <v>124</v>
      </c>
      <c r="AG291" s="12">
        <v>2025</v>
      </c>
    </row>
    <row r="292" spans="1:33" ht="15.5" x14ac:dyDescent="0.35">
      <c r="A292" s="12">
        <v>543</v>
      </c>
      <c r="B292" s="12" t="s">
        <v>150</v>
      </c>
      <c r="C292" s="12"/>
      <c r="D292" s="12"/>
      <c r="E292" s="12"/>
      <c r="F292" s="12"/>
      <c r="G292" s="12" t="s">
        <v>22</v>
      </c>
      <c r="H292" s="12"/>
      <c r="I292" s="12"/>
      <c r="J292" s="12"/>
      <c r="K292" s="10" t="s">
        <v>273</v>
      </c>
      <c r="L292" s="12" t="s">
        <v>279</v>
      </c>
      <c r="M292" s="12" t="s">
        <v>269</v>
      </c>
      <c r="N292" s="12" t="s">
        <v>280</v>
      </c>
      <c r="O292" s="12" t="s">
        <v>39</v>
      </c>
      <c r="P292" s="12">
        <v>1000</v>
      </c>
      <c r="Q292" s="12" t="s">
        <v>295</v>
      </c>
      <c r="R292" s="12" t="s">
        <v>76</v>
      </c>
      <c r="S292" s="12" t="s">
        <v>276</v>
      </c>
      <c r="T292" s="12" t="s">
        <v>159</v>
      </c>
      <c r="U292" s="12" t="s">
        <v>160</v>
      </c>
      <c r="V292" s="12"/>
      <c r="W292" s="12"/>
      <c r="X292" s="12"/>
      <c r="Y292" s="12"/>
      <c r="Z292" s="12"/>
      <c r="AA292" s="12"/>
      <c r="AB292" s="12"/>
      <c r="AC292" s="12" t="str">
        <f>Table1[[#This Row],[City or Community (San Mateo County)]]</f>
        <v>San Mateo</v>
      </c>
      <c r="AD292" s="12">
        <f>COUNTIF(G:G,Table1[[#This Row],[City or Community (San Mateo County)]])</f>
        <v>56</v>
      </c>
      <c r="AE292" s="12" t="str">
        <f>Table1[[#This Row],[Please select your county]]</f>
        <v>San Mateo County</v>
      </c>
      <c r="AF292" s="41">
        <f>COUNTIF(AE:AE,Table1[[#This Row],[County]])</f>
        <v>124</v>
      </c>
      <c r="AG292" s="12">
        <v>2025</v>
      </c>
    </row>
    <row r="293" spans="1:33" ht="31" x14ac:dyDescent="0.35">
      <c r="A293" s="12">
        <v>502</v>
      </c>
      <c r="B293" s="12" t="s">
        <v>150</v>
      </c>
      <c r="C293" s="12"/>
      <c r="D293" s="12"/>
      <c r="E293" s="12"/>
      <c r="F293" s="12"/>
      <c r="G293" s="12" t="s">
        <v>22</v>
      </c>
      <c r="H293" s="12"/>
      <c r="I293" s="12"/>
      <c r="J293" s="12"/>
      <c r="K293" s="10" t="s">
        <v>273</v>
      </c>
      <c r="L293" s="10" t="s">
        <v>279</v>
      </c>
      <c r="M293" s="10" t="s">
        <v>269</v>
      </c>
      <c r="N293" s="10" t="s">
        <v>280</v>
      </c>
      <c r="O293" s="12" t="s">
        <v>39</v>
      </c>
      <c r="P293" s="12">
        <v>1000</v>
      </c>
      <c r="Q293" s="12" t="s">
        <v>295</v>
      </c>
      <c r="R293" s="12" t="s">
        <v>76</v>
      </c>
      <c r="S293" s="12" t="s">
        <v>298</v>
      </c>
      <c r="T293" s="12" t="s">
        <v>83</v>
      </c>
      <c r="U293" s="12" t="s">
        <v>160</v>
      </c>
      <c r="V293" s="12"/>
      <c r="W293" s="12"/>
      <c r="X293" s="12"/>
      <c r="Y293" s="12"/>
      <c r="Z293" s="12"/>
      <c r="AA293" s="12"/>
      <c r="AB293" s="12"/>
      <c r="AC293" s="12" t="str">
        <f>Table1[[#This Row],[City or Community (San Mateo County)]]</f>
        <v>San Mateo</v>
      </c>
      <c r="AD293" s="12">
        <f>COUNTIF(G:G,Table1[[#This Row],[City or Community (San Mateo County)]])</f>
        <v>56</v>
      </c>
      <c r="AE293" s="12" t="str">
        <f>Table1[[#This Row],[Please select your county]]</f>
        <v>San Mateo County</v>
      </c>
      <c r="AF293" s="41">
        <f>COUNTIF(AE:AE,Table1[[#This Row],[County]])</f>
        <v>124</v>
      </c>
      <c r="AG293" s="12">
        <v>2025</v>
      </c>
    </row>
    <row r="294" spans="1:33" ht="46.5" x14ac:dyDescent="0.35">
      <c r="A294" s="12">
        <v>559</v>
      </c>
      <c r="B294" s="12" t="s">
        <v>150</v>
      </c>
      <c r="C294" s="12"/>
      <c r="D294" s="12"/>
      <c r="E294" s="12"/>
      <c r="F294" s="12"/>
      <c r="G294" s="12" t="s">
        <v>22</v>
      </c>
      <c r="H294" s="12"/>
      <c r="I294" s="12"/>
      <c r="J294" s="12"/>
      <c r="K294" s="10" t="s">
        <v>274</v>
      </c>
      <c r="L294" s="10" t="s">
        <v>279</v>
      </c>
      <c r="M294" s="10" t="s">
        <v>367</v>
      </c>
      <c r="N294" s="10" t="s">
        <v>278</v>
      </c>
      <c r="O294" s="12" t="s">
        <v>38</v>
      </c>
      <c r="P294" s="12">
        <v>1196</v>
      </c>
      <c r="Q294" s="12" t="s">
        <v>326</v>
      </c>
      <c r="R294" s="12" t="s">
        <v>165</v>
      </c>
      <c r="S294" s="12" t="s">
        <v>276</v>
      </c>
      <c r="T294" s="12" t="s">
        <v>159</v>
      </c>
      <c r="U294" s="12" t="s">
        <v>160</v>
      </c>
      <c r="V294" s="12"/>
      <c r="W294" s="12"/>
      <c r="X294" s="12"/>
      <c r="Y294" s="12"/>
      <c r="Z294" s="12"/>
      <c r="AA294" s="12"/>
      <c r="AB294" s="12"/>
      <c r="AC294" s="12" t="str">
        <f>Table1[[#This Row],[City or Community (San Mateo County)]]</f>
        <v>San Mateo</v>
      </c>
      <c r="AD294" s="12">
        <f>COUNTIF(G:G,Table1[[#This Row],[City or Community (San Mateo County)]])</f>
        <v>56</v>
      </c>
      <c r="AE294" s="12" t="str">
        <f>Table1[[#This Row],[Please select your county]]</f>
        <v>San Mateo County</v>
      </c>
      <c r="AF294" s="41">
        <f>COUNTIF(AE:AE,Table1[[#This Row],[County]])</f>
        <v>124</v>
      </c>
      <c r="AG294" s="12">
        <v>2025</v>
      </c>
    </row>
    <row r="295" spans="1:33" ht="31" x14ac:dyDescent="0.35">
      <c r="A295" s="12">
        <v>360</v>
      </c>
      <c r="B295" s="12" t="s">
        <v>150</v>
      </c>
      <c r="C295" s="12"/>
      <c r="D295" s="12"/>
      <c r="E295" s="12"/>
      <c r="F295" s="12"/>
      <c r="G295" s="12" t="s">
        <v>22</v>
      </c>
      <c r="H295" s="12"/>
      <c r="I295" s="12"/>
      <c r="J295" s="12"/>
      <c r="K295" s="10" t="s">
        <v>287</v>
      </c>
      <c r="L295" s="10" t="s">
        <v>279</v>
      </c>
      <c r="M295" s="10" t="s">
        <v>269</v>
      </c>
      <c r="N295" s="10" t="s">
        <v>278</v>
      </c>
      <c r="O295" s="12" t="s">
        <v>38</v>
      </c>
      <c r="P295" s="12">
        <v>1200</v>
      </c>
      <c r="Q295" s="12" t="s">
        <v>326</v>
      </c>
      <c r="R295" s="12" t="s">
        <v>74</v>
      </c>
      <c r="S295" s="12" t="s">
        <v>298</v>
      </c>
      <c r="T295" s="12" t="s">
        <v>159</v>
      </c>
      <c r="U295" s="12" t="s">
        <v>160</v>
      </c>
      <c r="V295" s="12"/>
      <c r="W295" s="12"/>
      <c r="X295" s="12"/>
      <c r="Y295" s="12"/>
      <c r="Z295" s="12"/>
      <c r="AA295" s="12"/>
      <c r="AB295" s="12"/>
      <c r="AC295" s="12" t="str">
        <f>Table1[[#This Row],[City or Community (San Mateo County)]]</f>
        <v>San Mateo</v>
      </c>
      <c r="AD295" s="12">
        <f>COUNTIF(G:G,Table1[[#This Row],[City or Community (San Mateo County)]])</f>
        <v>56</v>
      </c>
      <c r="AE295" s="12" t="str">
        <f>Table1[[#This Row],[Please select your county]]</f>
        <v>San Mateo County</v>
      </c>
      <c r="AF295" s="41">
        <f>COUNTIF(AE:AE,Table1[[#This Row],[County]])</f>
        <v>124</v>
      </c>
      <c r="AG295" s="12">
        <v>2025</v>
      </c>
    </row>
    <row r="296" spans="1:33" ht="31" x14ac:dyDescent="0.35">
      <c r="A296" s="12">
        <v>512</v>
      </c>
      <c r="B296" s="12" t="s">
        <v>150</v>
      </c>
      <c r="C296" s="12"/>
      <c r="D296" s="12"/>
      <c r="E296" s="12"/>
      <c r="F296" s="12"/>
      <c r="G296" s="12" t="s">
        <v>22</v>
      </c>
      <c r="H296" s="12"/>
      <c r="I296" s="12"/>
      <c r="J296" s="12"/>
      <c r="K296" s="10" t="s">
        <v>274</v>
      </c>
      <c r="L296" s="10" t="s">
        <v>279</v>
      </c>
      <c r="M296" s="10" t="s">
        <v>269</v>
      </c>
      <c r="N296" s="10" t="s">
        <v>280</v>
      </c>
      <c r="O296" s="12" t="s">
        <v>38</v>
      </c>
      <c r="P296" s="12">
        <v>1268</v>
      </c>
      <c r="Q296" s="12" t="s">
        <v>295</v>
      </c>
      <c r="R296" s="12" t="s">
        <v>79</v>
      </c>
      <c r="S296" s="12" t="s">
        <v>276</v>
      </c>
      <c r="T296" s="12" t="s">
        <v>159</v>
      </c>
      <c r="U296" s="12" t="s">
        <v>160</v>
      </c>
      <c r="V296" s="12"/>
      <c r="W296" s="12"/>
      <c r="X296" s="12"/>
      <c r="Y296" s="12"/>
      <c r="Z296" s="12"/>
      <c r="AA296" s="12"/>
      <c r="AB296" s="12"/>
      <c r="AC296" s="12" t="str">
        <f>Table1[[#This Row],[City or Community (San Mateo County)]]</f>
        <v>San Mateo</v>
      </c>
      <c r="AD296" s="12">
        <f>COUNTIF(G:G,Table1[[#This Row],[City or Community (San Mateo County)]])</f>
        <v>56</v>
      </c>
      <c r="AE296" s="12" t="str">
        <f>Table1[[#This Row],[Please select your county]]</f>
        <v>San Mateo County</v>
      </c>
      <c r="AF296" s="41">
        <f>COUNTIF(AE:AE,Table1[[#This Row],[County]])</f>
        <v>124</v>
      </c>
      <c r="AG296" s="12">
        <v>2025</v>
      </c>
    </row>
    <row r="297" spans="1:33" ht="31" x14ac:dyDescent="0.35">
      <c r="A297" s="12">
        <v>346</v>
      </c>
      <c r="B297" s="12" t="s">
        <v>150</v>
      </c>
      <c r="C297" s="12"/>
      <c r="D297" s="12"/>
      <c r="E297" s="12"/>
      <c r="F297" s="12"/>
      <c r="G297" s="12" t="s">
        <v>22</v>
      </c>
      <c r="H297" s="12"/>
      <c r="I297" s="12"/>
      <c r="J297" s="12"/>
      <c r="K297" s="10" t="s">
        <v>274</v>
      </c>
      <c r="L297" s="10" t="s">
        <v>279</v>
      </c>
      <c r="M297" s="10" t="s">
        <v>269</v>
      </c>
      <c r="N297" s="10" t="s">
        <v>278</v>
      </c>
      <c r="O297" s="12" t="s">
        <v>38</v>
      </c>
      <c r="P297" s="12">
        <v>1400</v>
      </c>
      <c r="Q297" s="12" t="s">
        <v>295</v>
      </c>
      <c r="R297" s="12" t="s">
        <v>79</v>
      </c>
      <c r="S297" s="12" t="s">
        <v>298</v>
      </c>
      <c r="T297" s="12" t="s">
        <v>159</v>
      </c>
      <c r="U297" s="12" t="s">
        <v>159</v>
      </c>
      <c r="V297" s="12" t="s">
        <v>164</v>
      </c>
      <c r="W297" s="12" t="s">
        <v>289</v>
      </c>
      <c r="X297" s="12"/>
      <c r="Y297" s="12" t="s">
        <v>290</v>
      </c>
      <c r="Z297" s="12"/>
      <c r="AA297" s="12" t="s">
        <v>300</v>
      </c>
      <c r="AB297" s="12" t="s">
        <v>165</v>
      </c>
      <c r="AC297" s="12" t="str">
        <f>Table1[[#This Row],[City or Community (San Mateo County)]]</f>
        <v>San Mateo</v>
      </c>
      <c r="AD297" s="12">
        <f>COUNTIF(G:G,Table1[[#This Row],[City or Community (San Mateo County)]])</f>
        <v>56</v>
      </c>
      <c r="AE297" s="12" t="str">
        <f>Table1[[#This Row],[Please select your county]]</f>
        <v>San Mateo County</v>
      </c>
      <c r="AF297" s="41">
        <f>COUNTIF(AE:AE,Table1[[#This Row],[County]])</f>
        <v>124</v>
      </c>
      <c r="AG297" s="12">
        <v>2025</v>
      </c>
    </row>
    <row r="298" spans="1:33" ht="15.5" x14ac:dyDescent="0.35">
      <c r="A298" s="12">
        <v>451</v>
      </c>
      <c r="B298" s="12" t="s">
        <v>150</v>
      </c>
      <c r="C298" s="12"/>
      <c r="D298" s="12"/>
      <c r="E298" s="12"/>
      <c r="F298" s="12"/>
      <c r="G298" s="12" t="s">
        <v>22</v>
      </c>
      <c r="H298" s="12"/>
      <c r="I298" s="12"/>
      <c r="J298" s="12"/>
      <c r="K298" s="12" t="s">
        <v>267</v>
      </c>
      <c r="L298" s="12" t="s">
        <v>277</v>
      </c>
      <c r="M298" s="12" t="s">
        <v>269</v>
      </c>
      <c r="N298" s="12" t="s">
        <v>288</v>
      </c>
      <c r="O298" s="12" t="s">
        <v>38</v>
      </c>
      <c r="P298" s="12">
        <v>1400</v>
      </c>
      <c r="Q298" s="12" t="s">
        <v>326</v>
      </c>
      <c r="R298" s="12" t="s">
        <v>165</v>
      </c>
      <c r="S298" s="12" t="s">
        <v>276</v>
      </c>
      <c r="T298" s="12" t="s">
        <v>159</v>
      </c>
      <c r="U298" s="12" t="s">
        <v>160</v>
      </c>
      <c r="V298" s="12"/>
      <c r="W298" s="12"/>
      <c r="X298" s="12"/>
      <c r="Y298" s="12"/>
      <c r="Z298" s="12"/>
      <c r="AA298" s="12"/>
      <c r="AB298" s="12"/>
      <c r="AC298" s="12" t="str">
        <f>Table1[[#This Row],[City or Community (San Mateo County)]]</f>
        <v>San Mateo</v>
      </c>
      <c r="AD298" s="12">
        <f>COUNTIF(G:G,Table1[[#This Row],[City or Community (San Mateo County)]])</f>
        <v>56</v>
      </c>
      <c r="AE298" s="12" t="str">
        <f>Table1[[#This Row],[Please select your county]]</f>
        <v>San Mateo County</v>
      </c>
      <c r="AF298" s="41">
        <f>COUNTIF(AE:AE,Table1[[#This Row],[County]])</f>
        <v>124</v>
      </c>
      <c r="AG298" s="12">
        <v>2025</v>
      </c>
    </row>
    <row r="299" spans="1:33" ht="31" x14ac:dyDescent="0.35">
      <c r="A299" s="12">
        <v>589</v>
      </c>
      <c r="B299" s="12" t="s">
        <v>150</v>
      </c>
      <c r="C299" s="12"/>
      <c r="D299" s="12"/>
      <c r="E299" s="12"/>
      <c r="F299" s="12"/>
      <c r="G299" s="12" t="s">
        <v>368</v>
      </c>
      <c r="H299" s="12"/>
      <c r="I299" s="12"/>
      <c r="J299" s="12"/>
      <c r="K299" s="10" t="s">
        <v>348</v>
      </c>
      <c r="L299" s="10" t="s">
        <v>277</v>
      </c>
      <c r="M299" s="10" t="s">
        <v>369</v>
      </c>
      <c r="N299" s="10" t="s">
        <v>280</v>
      </c>
      <c r="O299" s="12" t="s">
        <v>38</v>
      </c>
      <c r="P299" s="12">
        <v>200</v>
      </c>
      <c r="Q299" s="12" t="s">
        <v>271</v>
      </c>
      <c r="R299" s="12" t="s">
        <v>79</v>
      </c>
      <c r="S299" s="12" t="s">
        <v>272</v>
      </c>
      <c r="T299" s="12" t="s">
        <v>83</v>
      </c>
      <c r="U299" s="12" t="s">
        <v>160</v>
      </c>
      <c r="V299" s="12"/>
      <c r="W299" s="12"/>
      <c r="X299" s="12"/>
      <c r="Y299" s="12"/>
      <c r="Z299" s="12"/>
      <c r="AA299" s="12"/>
      <c r="AB299" s="12"/>
      <c r="AC299" s="12" t="str">
        <f>Table1[[#This Row],[City or Community (San Mateo County)]]</f>
        <v>Belmont</v>
      </c>
      <c r="AD299" s="12">
        <f>COUNTIF(G:G,Table1[[#This Row],[City or Community (San Mateo County)]])</f>
        <v>25</v>
      </c>
      <c r="AE299" s="12" t="str">
        <f>Table1[[#This Row],[Please select your county]]</f>
        <v>San Mateo County</v>
      </c>
      <c r="AF299" s="41">
        <f>COUNTIF(AE:AE,Table1[[#This Row],[County]])</f>
        <v>124</v>
      </c>
      <c r="AG299" s="12">
        <v>2025</v>
      </c>
    </row>
    <row r="300" spans="1:33" ht="31" x14ac:dyDescent="0.35">
      <c r="A300" s="12">
        <v>472</v>
      </c>
      <c r="B300" s="12" t="s">
        <v>150</v>
      </c>
      <c r="C300" s="12"/>
      <c r="D300" s="12"/>
      <c r="E300" s="12"/>
      <c r="F300" s="12"/>
      <c r="G300" s="12" t="s">
        <v>368</v>
      </c>
      <c r="H300" s="12"/>
      <c r="I300" s="12"/>
      <c r="J300" s="12"/>
      <c r="K300" s="10" t="s">
        <v>273</v>
      </c>
      <c r="L300" s="10" t="s">
        <v>268</v>
      </c>
      <c r="M300" s="10" t="s">
        <v>269</v>
      </c>
      <c r="N300" s="10" t="s">
        <v>280</v>
      </c>
      <c r="O300" s="12" t="s">
        <v>39</v>
      </c>
      <c r="P300" s="12">
        <v>250</v>
      </c>
      <c r="Q300" s="12" t="s">
        <v>271</v>
      </c>
      <c r="R300" s="12" t="s">
        <v>76</v>
      </c>
      <c r="S300" s="12" t="s">
        <v>275</v>
      </c>
      <c r="T300" s="12" t="s">
        <v>159</v>
      </c>
      <c r="U300" s="12" t="s">
        <v>160</v>
      </c>
      <c r="V300" s="12"/>
      <c r="W300" s="12"/>
      <c r="X300" s="12"/>
      <c r="Y300" s="12"/>
      <c r="Z300" s="12"/>
      <c r="AA300" s="12"/>
      <c r="AB300" s="12"/>
      <c r="AC300" s="12" t="str">
        <f>Table1[[#This Row],[City or Community (San Mateo County)]]</f>
        <v>Belmont</v>
      </c>
      <c r="AD300" s="12">
        <f>COUNTIF(G:G,Table1[[#This Row],[City or Community (San Mateo County)]])</f>
        <v>25</v>
      </c>
      <c r="AE300" s="12" t="str">
        <f>Table1[[#This Row],[Please select your county]]</f>
        <v>San Mateo County</v>
      </c>
      <c r="AF300" s="41">
        <f>COUNTIF(AE:AE,Table1[[#This Row],[County]])</f>
        <v>124</v>
      </c>
      <c r="AG300" s="12">
        <v>2025</v>
      </c>
    </row>
    <row r="301" spans="1:33" ht="31" x14ac:dyDescent="0.35">
      <c r="A301" s="12">
        <v>423</v>
      </c>
      <c r="B301" s="12" t="s">
        <v>150</v>
      </c>
      <c r="C301" s="12"/>
      <c r="D301" s="12"/>
      <c r="E301" s="12"/>
      <c r="F301" s="12"/>
      <c r="G301" s="12" t="s">
        <v>368</v>
      </c>
      <c r="H301" s="12"/>
      <c r="I301" s="12"/>
      <c r="J301" s="12"/>
      <c r="K301" s="10" t="s">
        <v>366</v>
      </c>
      <c r="L301" s="10" t="s">
        <v>277</v>
      </c>
      <c r="M301" s="10" t="s">
        <v>269</v>
      </c>
      <c r="N301" s="10" t="s">
        <v>280</v>
      </c>
      <c r="O301" s="12" t="s">
        <v>38</v>
      </c>
      <c r="P301" s="12">
        <v>263</v>
      </c>
      <c r="Q301" s="12" t="s">
        <v>271</v>
      </c>
      <c r="R301" s="12" t="s">
        <v>68</v>
      </c>
      <c r="S301" s="12" t="s">
        <v>275</v>
      </c>
      <c r="T301" s="12" t="s">
        <v>159</v>
      </c>
      <c r="U301" s="12" t="s">
        <v>159</v>
      </c>
      <c r="V301" s="12" t="s">
        <v>163</v>
      </c>
      <c r="W301" s="12" t="s">
        <v>299</v>
      </c>
      <c r="X301" s="12"/>
      <c r="Y301" s="12" t="s">
        <v>290</v>
      </c>
      <c r="Z301" s="12"/>
      <c r="AA301" s="12" t="s">
        <v>291</v>
      </c>
      <c r="AB301" s="12" t="s">
        <v>165</v>
      </c>
      <c r="AC301" s="12" t="str">
        <f>Table1[[#This Row],[City or Community (San Mateo County)]]</f>
        <v>Belmont</v>
      </c>
      <c r="AD301" s="12">
        <f>COUNTIF(G:G,Table1[[#This Row],[City or Community (San Mateo County)]])</f>
        <v>25</v>
      </c>
      <c r="AE301" s="12" t="str">
        <f>Table1[[#This Row],[Please select your county]]</f>
        <v>San Mateo County</v>
      </c>
      <c r="AF301" s="41">
        <f>COUNTIF(AE:AE,Table1[[#This Row],[County]])</f>
        <v>124</v>
      </c>
      <c r="AG301" s="12">
        <v>2025</v>
      </c>
    </row>
    <row r="302" spans="1:33" ht="31" x14ac:dyDescent="0.35">
      <c r="A302" s="12">
        <v>516</v>
      </c>
      <c r="B302" s="12" t="s">
        <v>150</v>
      </c>
      <c r="C302" s="12"/>
      <c r="D302" s="12"/>
      <c r="E302" s="12"/>
      <c r="F302" s="12"/>
      <c r="G302" s="12" t="s">
        <v>368</v>
      </c>
      <c r="H302" s="12"/>
      <c r="I302" s="12"/>
      <c r="J302" s="12"/>
      <c r="K302" s="10" t="s">
        <v>267</v>
      </c>
      <c r="L302" s="10" t="s">
        <v>268</v>
      </c>
      <c r="M302" s="10" t="s">
        <v>269</v>
      </c>
      <c r="N302" s="10" t="s">
        <v>278</v>
      </c>
      <c r="O302" s="12" t="s">
        <v>38</v>
      </c>
      <c r="P302" s="12">
        <v>313</v>
      </c>
      <c r="Q302" s="12" t="s">
        <v>271</v>
      </c>
      <c r="R302" s="12" t="s">
        <v>165</v>
      </c>
      <c r="S302" s="12" t="s">
        <v>276</v>
      </c>
      <c r="T302" s="12" t="s">
        <v>159</v>
      </c>
      <c r="U302" s="12" t="s">
        <v>160</v>
      </c>
      <c r="V302" s="12"/>
      <c r="W302" s="12"/>
      <c r="X302" s="12"/>
      <c r="Y302" s="12"/>
      <c r="Z302" s="12"/>
      <c r="AA302" s="12"/>
      <c r="AB302" s="12"/>
      <c r="AC302" s="12" t="str">
        <f>Table1[[#This Row],[City or Community (San Mateo County)]]</f>
        <v>Belmont</v>
      </c>
      <c r="AD302" s="12">
        <f>COUNTIF(G:G,Table1[[#This Row],[City or Community (San Mateo County)]])</f>
        <v>25</v>
      </c>
      <c r="AE302" s="12" t="str">
        <f>Table1[[#This Row],[Please select your county]]</f>
        <v>San Mateo County</v>
      </c>
      <c r="AF302" s="41">
        <f>COUNTIF(AE:AE,Table1[[#This Row],[County]])</f>
        <v>124</v>
      </c>
      <c r="AG302" s="12">
        <v>2025</v>
      </c>
    </row>
    <row r="303" spans="1:33" ht="15.5" x14ac:dyDescent="0.35">
      <c r="A303" s="12">
        <v>602</v>
      </c>
      <c r="B303" s="12" t="s">
        <v>150</v>
      </c>
      <c r="C303" s="12"/>
      <c r="D303" s="12"/>
      <c r="E303" s="12"/>
      <c r="F303" s="12"/>
      <c r="G303" s="12" t="s">
        <v>368</v>
      </c>
      <c r="H303" s="12"/>
      <c r="I303" s="12"/>
      <c r="J303" s="12"/>
      <c r="K303" s="10" t="s">
        <v>267</v>
      </c>
      <c r="L303" s="10" t="s">
        <v>279</v>
      </c>
      <c r="M303" s="10" t="s">
        <v>269</v>
      </c>
      <c r="N303" s="10" t="s">
        <v>288</v>
      </c>
      <c r="O303" s="12" t="s">
        <v>38</v>
      </c>
      <c r="P303" s="12">
        <v>320</v>
      </c>
      <c r="Q303" s="12" t="s">
        <v>271</v>
      </c>
      <c r="R303" s="12" t="s">
        <v>165</v>
      </c>
      <c r="S303" s="12" t="s">
        <v>272</v>
      </c>
      <c r="T303" s="12" t="s">
        <v>159</v>
      </c>
      <c r="U303" s="12" t="s">
        <v>160</v>
      </c>
      <c r="V303" s="12"/>
      <c r="W303" s="12"/>
      <c r="X303" s="12"/>
      <c r="Y303" s="12"/>
      <c r="Z303" s="12"/>
      <c r="AA303" s="12"/>
      <c r="AB303" s="12"/>
      <c r="AC303" s="12" t="str">
        <f>Table1[[#This Row],[City or Community (San Mateo County)]]</f>
        <v>Belmont</v>
      </c>
      <c r="AD303" s="12">
        <f>COUNTIF(G:G,Table1[[#This Row],[City or Community (San Mateo County)]])</f>
        <v>25</v>
      </c>
      <c r="AE303" s="12" t="str">
        <f>Table1[[#This Row],[Please select your county]]</f>
        <v>San Mateo County</v>
      </c>
      <c r="AF303" s="41">
        <f>COUNTIF(AE:AE,Table1[[#This Row],[County]])</f>
        <v>124</v>
      </c>
      <c r="AG303" s="12">
        <v>2025</v>
      </c>
    </row>
    <row r="304" spans="1:33" ht="31" x14ac:dyDescent="0.35">
      <c r="A304" s="12">
        <v>529</v>
      </c>
      <c r="B304" s="12" t="s">
        <v>150</v>
      </c>
      <c r="C304" s="12"/>
      <c r="D304" s="12"/>
      <c r="E304" s="12"/>
      <c r="F304" s="12"/>
      <c r="G304" s="12" t="s">
        <v>368</v>
      </c>
      <c r="H304" s="12"/>
      <c r="I304" s="12"/>
      <c r="J304" s="12"/>
      <c r="K304" s="10" t="s">
        <v>274</v>
      </c>
      <c r="L304" s="10" t="s">
        <v>312</v>
      </c>
      <c r="M304" s="10" t="s">
        <v>301</v>
      </c>
      <c r="N304" s="10" t="s">
        <v>278</v>
      </c>
      <c r="O304" s="12" t="s">
        <v>38</v>
      </c>
      <c r="P304" s="12">
        <v>323</v>
      </c>
      <c r="Q304" s="12" t="s">
        <v>281</v>
      </c>
      <c r="R304" s="12" t="s">
        <v>79</v>
      </c>
      <c r="S304" s="12" t="s">
        <v>304</v>
      </c>
      <c r="T304" s="12" t="s">
        <v>159</v>
      </c>
      <c r="U304" s="12" t="s">
        <v>160</v>
      </c>
      <c r="V304" s="12"/>
      <c r="W304" s="12"/>
      <c r="X304" s="12"/>
      <c r="Y304" s="12"/>
      <c r="Z304" s="12"/>
      <c r="AA304" s="12"/>
      <c r="AB304" s="12"/>
      <c r="AC304" s="12" t="str">
        <f>Table1[[#This Row],[City or Community (San Mateo County)]]</f>
        <v>Belmont</v>
      </c>
      <c r="AD304" s="12">
        <f>COUNTIF(G:G,Table1[[#This Row],[City or Community (San Mateo County)]])</f>
        <v>25</v>
      </c>
      <c r="AE304" s="12" t="str">
        <f>Table1[[#This Row],[Please select your county]]</f>
        <v>San Mateo County</v>
      </c>
      <c r="AF304" s="41">
        <f>COUNTIF(AE:AE,Table1[[#This Row],[County]])</f>
        <v>124</v>
      </c>
      <c r="AG304" s="12">
        <v>2025</v>
      </c>
    </row>
    <row r="305" spans="1:33" ht="31" x14ac:dyDescent="0.35">
      <c r="A305" s="12">
        <v>558</v>
      </c>
      <c r="B305" s="12" t="s">
        <v>150</v>
      </c>
      <c r="C305" s="12"/>
      <c r="D305" s="12"/>
      <c r="E305" s="12"/>
      <c r="F305" s="12"/>
      <c r="G305" s="12" t="s">
        <v>368</v>
      </c>
      <c r="H305" s="12"/>
      <c r="I305" s="12"/>
      <c r="J305" s="12"/>
      <c r="K305" s="10" t="s">
        <v>273</v>
      </c>
      <c r="L305" s="10" t="s">
        <v>277</v>
      </c>
      <c r="M305" s="10" t="s">
        <v>269</v>
      </c>
      <c r="N305" s="10" t="s">
        <v>280</v>
      </c>
      <c r="O305" s="12" t="s">
        <v>39</v>
      </c>
      <c r="P305" s="12">
        <v>344</v>
      </c>
      <c r="Q305" s="12" t="s">
        <v>271</v>
      </c>
      <c r="R305" s="12" t="s">
        <v>76</v>
      </c>
      <c r="S305" s="12" t="s">
        <v>272</v>
      </c>
      <c r="T305" s="12" t="s">
        <v>159</v>
      </c>
      <c r="U305" s="12" t="s">
        <v>160</v>
      </c>
      <c r="V305" s="12"/>
      <c r="W305" s="12"/>
      <c r="X305" s="12"/>
      <c r="Y305" s="12"/>
      <c r="Z305" s="12"/>
      <c r="AA305" s="12"/>
      <c r="AB305" s="12"/>
      <c r="AC305" s="12" t="str">
        <f>Table1[[#This Row],[City or Community (San Mateo County)]]</f>
        <v>Belmont</v>
      </c>
      <c r="AD305" s="12">
        <f>COUNTIF(G:G,Table1[[#This Row],[City or Community (San Mateo County)]])</f>
        <v>25</v>
      </c>
      <c r="AE305" s="12" t="str">
        <f>Table1[[#This Row],[Please select your county]]</f>
        <v>San Mateo County</v>
      </c>
      <c r="AF305" s="41">
        <f>COUNTIF(AE:AE,Table1[[#This Row],[County]])</f>
        <v>124</v>
      </c>
      <c r="AG305" s="12">
        <v>2025</v>
      </c>
    </row>
    <row r="306" spans="1:33" ht="31" x14ac:dyDescent="0.35">
      <c r="A306" s="12">
        <v>541</v>
      </c>
      <c r="B306" s="12" t="s">
        <v>150</v>
      </c>
      <c r="C306" s="12"/>
      <c r="D306" s="12"/>
      <c r="E306" s="12"/>
      <c r="F306" s="12"/>
      <c r="G306" s="12" t="s">
        <v>368</v>
      </c>
      <c r="H306" s="12"/>
      <c r="I306" s="12"/>
      <c r="J306" s="12"/>
      <c r="K306" s="10" t="s">
        <v>294</v>
      </c>
      <c r="L306" s="10" t="s">
        <v>279</v>
      </c>
      <c r="M306" s="10" t="s">
        <v>301</v>
      </c>
      <c r="N306" s="10" t="s">
        <v>280</v>
      </c>
      <c r="O306" s="12" t="s">
        <v>38</v>
      </c>
      <c r="P306" s="12">
        <v>350</v>
      </c>
      <c r="Q306" s="12" t="s">
        <v>281</v>
      </c>
      <c r="R306" s="12" t="s">
        <v>70</v>
      </c>
      <c r="S306" s="12" t="s">
        <v>276</v>
      </c>
      <c r="T306" s="12" t="s">
        <v>159</v>
      </c>
      <c r="U306" s="12" t="s">
        <v>160</v>
      </c>
      <c r="V306" s="12"/>
      <c r="W306" s="12"/>
      <c r="X306" s="12"/>
      <c r="Y306" s="12"/>
      <c r="Z306" s="12"/>
      <c r="AA306" s="12"/>
      <c r="AB306" s="12"/>
      <c r="AC306" s="12" t="str">
        <f>Table1[[#This Row],[City or Community (San Mateo County)]]</f>
        <v>Belmont</v>
      </c>
      <c r="AD306" s="12">
        <f>COUNTIF(G:G,Table1[[#This Row],[City or Community (San Mateo County)]])</f>
        <v>25</v>
      </c>
      <c r="AE306" s="12" t="str">
        <f>Table1[[#This Row],[Please select your county]]</f>
        <v>San Mateo County</v>
      </c>
      <c r="AF306" s="41">
        <f>COUNTIF(AE:AE,Table1[[#This Row],[County]])</f>
        <v>124</v>
      </c>
      <c r="AG306" s="12">
        <v>2025</v>
      </c>
    </row>
    <row r="307" spans="1:33" ht="31" x14ac:dyDescent="0.35">
      <c r="A307" s="12">
        <v>521</v>
      </c>
      <c r="B307" s="12" t="s">
        <v>150</v>
      </c>
      <c r="C307" s="12"/>
      <c r="D307" s="12"/>
      <c r="E307" s="12"/>
      <c r="F307" s="12"/>
      <c r="G307" s="12" t="s">
        <v>368</v>
      </c>
      <c r="H307" s="12"/>
      <c r="I307" s="12"/>
      <c r="J307" s="12"/>
      <c r="K307" s="10" t="s">
        <v>273</v>
      </c>
      <c r="L307" s="10" t="s">
        <v>268</v>
      </c>
      <c r="M307" s="10" t="s">
        <v>269</v>
      </c>
      <c r="N307" s="10" t="s">
        <v>278</v>
      </c>
      <c r="O307" s="12" t="s">
        <v>39</v>
      </c>
      <c r="P307" s="12">
        <v>350</v>
      </c>
      <c r="Q307" s="12" t="s">
        <v>271</v>
      </c>
      <c r="R307" s="12" t="s">
        <v>76</v>
      </c>
      <c r="S307" s="12" t="s">
        <v>272</v>
      </c>
      <c r="T307" s="12" t="s">
        <v>159</v>
      </c>
      <c r="U307" s="12" t="s">
        <v>160</v>
      </c>
      <c r="V307" s="12"/>
      <c r="W307" s="12"/>
      <c r="X307" s="12"/>
      <c r="Y307" s="12"/>
      <c r="Z307" s="12"/>
      <c r="AA307" s="12"/>
      <c r="AB307" s="12"/>
      <c r="AC307" s="12" t="str">
        <f>Table1[[#This Row],[City or Community (San Mateo County)]]</f>
        <v>Belmont</v>
      </c>
      <c r="AD307" s="12">
        <f>COUNTIF(G:G,Table1[[#This Row],[City or Community (San Mateo County)]])</f>
        <v>25</v>
      </c>
      <c r="AE307" s="12" t="str">
        <f>Table1[[#This Row],[Please select your county]]</f>
        <v>San Mateo County</v>
      </c>
      <c r="AF307" s="41">
        <f>COUNTIF(AE:AE,Table1[[#This Row],[County]])</f>
        <v>124</v>
      </c>
      <c r="AG307" s="12">
        <v>2025</v>
      </c>
    </row>
    <row r="308" spans="1:33" ht="15.5" x14ac:dyDescent="0.35">
      <c r="A308" s="12">
        <v>603</v>
      </c>
      <c r="B308" s="12" t="s">
        <v>150</v>
      </c>
      <c r="C308" s="12"/>
      <c r="D308" s="12"/>
      <c r="E308" s="12"/>
      <c r="F308" s="12"/>
      <c r="G308" s="12" t="s">
        <v>368</v>
      </c>
      <c r="H308" s="12"/>
      <c r="I308" s="12"/>
      <c r="J308" s="12"/>
      <c r="K308" s="12" t="s">
        <v>267</v>
      </c>
      <c r="L308" s="12" t="s">
        <v>279</v>
      </c>
      <c r="M308" s="12" t="s">
        <v>269</v>
      </c>
      <c r="N308" s="12" t="s">
        <v>288</v>
      </c>
      <c r="O308" s="12" t="s">
        <v>38</v>
      </c>
      <c r="P308" s="12">
        <v>362</v>
      </c>
      <c r="Q308" s="12" t="s">
        <v>271</v>
      </c>
      <c r="R308" s="12" t="s">
        <v>165</v>
      </c>
      <c r="S308" s="12" t="s">
        <v>272</v>
      </c>
      <c r="T308" s="12" t="s">
        <v>159</v>
      </c>
      <c r="U308" s="12" t="s">
        <v>160</v>
      </c>
      <c r="V308" s="12"/>
      <c r="W308" s="12"/>
      <c r="X308" s="12"/>
      <c r="Y308" s="12"/>
      <c r="Z308" s="12"/>
      <c r="AA308" s="12"/>
      <c r="AB308" s="12"/>
      <c r="AC308" s="12" t="str">
        <f>Table1[[#This Row],[City or Community (San Mateo County)]]</f>
        <v>Belmont</v>
      </c>
      <c r="AD308" s="12">
        <f>COUNTIF(G:G,Table1[[#This Row],[City or Community (San Mateo County)]])</f>
        <v>25</v>
      </c>
      <c r="AE308" s="12" t="str">
        <f>Table1[[#This Row],[Please select your county]]</f>
        <v>San Mateo County</v>
      </c>
      <c r="AF308" s="41">
        <f>COUNTIF(AE:AE,Table1[[#This Row],[County]])</f>
        <v>124</v>
      </c>
      <c r="AG308" s="12">
        <v>2025</v>
      </c>
    </row>
    <row r="309" spans="1:33" ht="15.5" x14ac:dyDescent="0.35">
      <c r="A309" s="12">
        <v>384</v>
      </c>
      <c r="B309" s="12" t="s">
        <v>150</v>
      </c>
      <c r="C309" s="12"/>
      <c r="D309" s="12"/>
      <c r="E309" s="12"/>
      <c r="F309" s="12"/>
      <c r="G309" s="12" t="s">
        <v>370</v>
      </c>
      <c r="H309" s="12"/>
      <c r="I309" s="12"/>
      <c r="J309" s="12"/>
      <c r="K309" s="12" t="s">
        <v>274</v>
      </c>
      <c r="L309" s="12" t="s">
        <v>279</v>
      </c>
      <c r="M309" s="12" t="s">
        <v>269</v>
      </c>
      <c r="N309" s="12" t="s">
        <v>278</v>
      </c>
      <c r="O309" s="12" t="s">
        <v>38</v>
      </c>
      <c r="P309" s="12">
        <v>382</v>
      </c>
      <c r="Q309" s="12" t="s">
        <v>271</v>
      </c>
      <c r="R309" s="12" t="s">
        <v>68</v>
      </c>
      <c r="S309" s="12" t="s">
        <v>276</v>
      </c>
      <c r="T309" s="12" t="s">
        <v>159</v>
      </c>
      <c r="U309" s="12" t="s">
        <v>159</v>
      </c>
      <c r="V309" s="12" t="s">
        <v>163</v>
      </c>
      <c r="W309" s="12" t="s">
        <v>299</v>
      </c>
      <c r="X309" s="12"/>
      <c r="Y309" s="12" t="s">
        <v>290</v>
      </c>
      <c r="Z309" s="12"/>
      <c r="AA309" s="12" t="s">
        <v>300</v>
      </c>
      <c r="AB309" s="12" t="s">
        <v>190</v>
      </c>
      <c r="AC309" s="12" t="str">
        <f>Table1[[#This Row],[City or Community (San Mateo County)]]</f>
        <v>Millbrae</v>
      </c>
      <c r="AD309" s="12">
        <f>COUNTIF(G:G,Table1[[#This Row],[City or Community (San Mateo County)]])</f>
        <v>25</v>
      </c>
      <c r="AE309" s="12" t="str">
        <f>Table1[[#This Row],[Please select your county]]</f>
        <v>San Mateo County</v>
      </c>
      <c r="AF309" s="41">
        <f>COUNTIF(AE:AE,Table1[[#This Row],[County]])</f>
        <v>124</v>
      </c>
      <c r="AG309" s="12">
        <v>2025</v>
      </c>
    </row>
    <row r="310" spans="1:33" ht="31" x14ac:dyDescent="0.35">
      <c r="A310" s="12">
        <v>474</v>
      </c>
      <c r="B310" s="12" t="s">
        <v>150</v>
      </c>
      <c r="C310" s="12"/>
      <c r="D310" s="12"/>
      <c r="E310" s="12"/>
      <c r="F310" s="12"/>
      <c r="G310" s="12" t="s">
        <v>368</v>
      </c>
      <c r="H310" s="12"/>
      <c r="I310" s="12"/>
      <c r="J310" s="12"/>
      <c r="K310" s="10" t="s">
        <v>274</v>
      </c>
      <c r="L310" s="10" t="s">
        <v>277</v>
      </c>
      <c r="M310" s="10" t="s">
        <v>269</v>
      </c>
      <c r="N310" s="10" t="s">
        <v>278</v>
      </c>
      <c r="O310" s="12" t="s">
        <v>38</v>
      </c>
      <c r="P310" s="12">
        <v>382</v>
      </c>
      <c r="Q310" s="12" t="s">
        <v>271</v>
      </c>
      <c r="R310" s="12" t="s">
        <v>68</v>
      </c>
      <c r="S310" s="12" t="s">
        <v>276</v>
      </c>
      <c r="T310" s="12" t="s">
        <v>159</v>
      </c>
      <c r="U310" s="12" t="s">
        <v>160</v>
      </c>
      <c r="V310" s="12"/>
      <c r="W310" s="12"/>
      <c r="X310" s="12"/>
      <c r="Y310" s="12"/>
      <c r="Z310" s="12"/>
      <c r="AA310" s="12"/>
      <c r="AB310" s="12"/>
      <c r="AC310" s="12" t="str">
        <f>Table1[[#This Row],[City or Community (San Mateo County)]]</f>
        <v>Belmont</v>
      </c>
      <c r="AD310" s="12">
        <f>COUNTIF(G:G,Table1[[#This Row],[City or Community (San Mateo County)]])</f>
        <v>25</v>
      </c>
      <c r="AE310" s="12" t="str">
        <f>Table1[[#This Row],[Please select your county]]</f>
        <v>San Mateo County</v>
      </c>
      <c r="AF310" s="41">
        <f>COUNTIF(AE:AE,Table1[[#This Row],[County]])</f>
        <v>124</v>
      </c>
      <c r="AG310" s="12">
        <v>2025</v>
      </c>
    </row>
    <row r="311" spans="1:33" ht="31" x14ac:dyDescent="0.35">
      <c r="A311" s="12">
        <v>380</v>
      </c>
      <c r="B311" s="12" t="s">
        <v>150</v>
      </c>
      <c r="C311" s="12"/>
      <c r="D311" s="12"/>
      <c r="E311" s="12"/>
      <c r="F311" s="12"/>
      <c r="G311" s="12" t="s">
        <v>370</v>
      </c>
      <c r="H311" s="12"/>
      <c r="I311" s="12"/>
      <c r="J311" s="12"/>
      <c r="K311" s="10" t="s">
        <v>371</v>
      </c>
      <c r="L311" s="10" t="s">
        <v>279</v>
      </c>
      <c r="M311" s="10" t="s">
        <v>269</v>
      </c>
      <c r="N311" s="10" t="s">
        <v>278</v>
      </c>
      <c r="O311" s="12" t="s">
        <v>38</v>
      </c>
      <c r="P311" s="12">
        <v>400</v>
      </c>
      <c r="Q311" s="12" t="s">
        <v>281</v>
      </c>
      <c r="R311" s="12" t="s">
        <v>71</v>
      </c>
      <c r="S311" s="12" t="s">
        <v>276</v>
      </c>
      <c r="T311" s="12" t="s">
        <v>159</v>
      </c>
      <c r="U311" s="12" t="s">
        <v>160</v>
      </c>
      <c r="V311" s="12"/>
      <c r="W311" s="12"/>
      <c r="X311" s="12"/>
      <c r="Y311" s="12"/>
      <c r="Z311" s="12"/>
      <c r="AA311" s="12"/>
      <c r="AB311" s="12"/>
      <c r="AC311" s="12" t="str">
        <f>Table1[[#This Row],[City or Community (San Mateo County)]]</f>
        <v>Millbrae</v>
      </c>
      <c r="AD311" s="12">
        <f>COUNTIF(G:G,Table1[[#This Row],[City or Community (San Mateo County)]])</f>
        <v>25</v>
      </c>
      <c r="AE311" s="12" t="str">
        <f>Table1[[#This Row],[Please select your county]]</f>
        <v>San Mateo County</v>
      </c>
      <c r="AF311" s="41">
        <f>COUNTIF(AE:AE,Table1[[#This Row],[County]])</f>
        <v>124</v>
      </c>
      <c r="AG311" s="12">
        <v>2025</v>
      </c>
    </row>
    <row r="312" spans="1:33" ht="15.5" x14ac:dyDescent="0.35">
      <c r="A312" s="12">
        <v>526</v>
      </c>
      <c r="B312" s="12" t="s">
        <v>150</v>
      </c>
      <c r="C312" s="12"/>
      <c r="D312" s="12"/>
      <c r="E312" s="12"/>
      <c r="F312" s="12"/>
      <c r="G312" s="12" t="s">
        <v>368</v>
      </c>
      <c r="H312" s="12"/>
      <c r="I312" s="12"/>
      <c r="J312" s="12"/>
      <c r="K312" s="12" t="s">
        <v>294</v>
      </c>
      <c r="L312" s="12" t="s">
        <v>277</v>
      </c>
      <c r="M312" s="12" t="s">
        <v>269</v>
      </c>
      <c r="N312" s="12" t="s">
        <v>280</v>
      </c>
      <c r="O312" s="12" t="s">
        <v>38</v>
      </c>
      <c r="P312" s="12">
        <v>415</v>
      </c>
      <c r="Q312" s="12" t="s">
        <v>271</v>
      </c>
      <c r="R312" s="12" t="s">
        <v>165</v>
      </c>
      <c r="S312" s="12" t="s">
        <v>276</v>
      </c>
      <c r="T312" s="12" t="s">
        <v>159</v>
      </c>
      <c r="U312" s="12" t="s">
        <v>160</v>
      </c>
      <c r="V312" s="12"/>
      <c r="W312" s="12"/>
      <c r="X312" s="12"/>
      <c r="Y312" s="12"/>
      <c r="Z312" s="12"/>
      <c r="AA312" s="12"/>
      <c r="AB312" s="12"/>
      <c r="AC312" s="12" t="str">
        <f>Table1[[#This Row],[City or Community (San Mateo County)]]</f>
        <v>Belmont</v>
      </c>
      <c r="AD312" s="12">
        <f>COUNTIF(G:G,Table1[[#This Row],[City or Community (San Mateo County)]])</f>
        <v>25</v>
      </c>
      <c r="AE312" s="12" t="str">
        <f>Table1[[#This Row],[Please select your county]]</f>
        <v>San Mateo County</v>
      </c>
      <c r="AF312" s="41">
        <f>COUNTIF(AE:AE,Table1[[#This Row],[County]])</f>
        <v>124</v>
      </c>
      <c r="AG312" s="12">
        <v>2025</v>
      </c>
    </row>
    <row r="313" spans="1:33" ht="15.5" x14ac:dyDescent="0.35">
      <c r="A313" s="12">
        <v>164</v>
      </c>
      <c r="B313" s="12" t="s">
        <v>150</v>
      </c>
      <c r="C313" s="12"/>
      <c r="D313" s="12"/>
      <c r="E313" s="12"/>
      <c r="F313" s="12"/>
      <c r="G313" s="12" t="s">
        <v>370</v>
      </c>
      <c r="H313" s="12"/>
      <c r="I313" s="12"/>
      <c r="J313" s="12"/>
      <c r="K313" s="10" t="s">
        <v>274</v>
      </c>
      <c r="L313" s="10"/>
      <c r="M313" s="10"/>
      <c r="N313" s="10"/>
      <c r="O313" s="12" t="s">
        <v>38</v>
      </c>
      <c r="P313" s="12">
        <v>450</v>
      </c>
      <c r="Q313" s="12" t="s">
        <v>271</v>
      </c>
      <c r="R313" s="12" t="s">
        <v>68</v>
      </c>
      <c r="S313" s="12" t="s">
        <v>276</v>
      </c>
      <c r="T313" s="12" t="s">
        <v>83</v>
      </c>
      <c r="U313" s="12" t="s">
        <v>159</v>
      </c>
      <c r="V313" s="12" t="s">
        <v>163</v>
      </c>
      <c r="W313" s="12" t="s">
        <v>299</v>
      </c>
      <c r="X313" s="12"/>
      <c r="Y313" s="12" t="s">
        <v>290</v>
      </c>
      <c r="Z313" s="12"/>
      <c r="AA313" s="12" t="s">
        <v>286</v>
      </c>
      <c r="AB313" s="12" t="s">
        <v>186</v>
      </c>
      <c r="AC313" s="12" t="str">
        <f>Table1[[#This Row],[City or Community (San Mateo County)]]</f>
        <v>Millbrae</v>
      </c>
      <c r="AD313" s="12">
        <f>COUNTIF(G:G,Table1[[#This Row],[City or Community (San Mateo County)]])</f>
        <v>25</v>
      </c>
      <c r="AE313" s="12" t="str">
        <f>Table1[[#This Row],[Please select your county]]</f>
        <v>San Mateo County</v>
      </c>
      <c r="AF313" s="41">
        <f>COUNTIF(AE:AE,Table1[[#This Row],[County]])</f>
        <v>124</v>
      </c>
      <c r="AG313" s="12">
        <v>2025</v>
      </c>
    </row>
    <row r="314" spans="1:33" ht="15.5" x14ac:dyDescent="0.35">
      <c r="A314" s="12">
        <v>476</v>
      </c>
      <c r="B314" s="12" t="s">
        <v>150</v>
      </c>
      <c r="C314" s="12"/>
      <c r="D314" s="12"/>
      <c r="E314" s="12"/>
      <c r="F314" s="12"/>
      <c r="G314" s="12" t="s">
        <v>370</v>
      </c>
      <c r="H314" s="12"/>
      <c r="I314" s="12"/>
      <c r="J314" s="12"/>
      <c r="K314" s="12" t="s">
        <v>267</v>
      </c>
      <c r="L314" s="12" t="s">
        <v>268</v>
      </c>
      <c r="M314" s="12" t="s">
        <v>269</v>
      </c>
      <c r="N314" s="12" t="s">
        <v>280</v>
      </c>
      <c r="O314" s="12" t="s">
        <v>38</v>
      </c>
      <c r="P314" s="12">
        <v>450</v>
      </c>
      <c r="Q314" s="12" t="s">
        <v>281</v>
      </c>
      <c r="R314" s="12" t="s">
        <v>69</v>
      </c>
      <c r="S314" s="12" t="s">
        <v>276</v>
      </c>
      <c r="T314" s="12" t="s">
        <v>159</v>
      </c>
      <c r="U314" s="12" t="s">
        <v>159</v>
      </c>
      <c r="V314" s="12" t="s">
        <v>163</v>
      </c>
      <c r="W314" s="12" t="s">
        <v>299</v>
      </c>
      <c r="X314" s="12"/>
      <c r="Y314" s="12" t="s">
        <v>372</v>
      </c>
      <c r="Z314" s="12"/>
      <c r="AA314" s="12" t="s">
        <v>300</v>
      </c>
      <c r="AB314" s="12" t="s">
        <v>165</v>
      </c>
      <c r="AC314" s="12" t="str">
        <f>Table1[[#This Row],[City or Community (San Mateo County)]]</f>
        <v>Millbrae</v>
      </c>
      <c r="AD314" s="12">
        <f>COUNTIF(G:G,Table1[[#This Row],[City or Community (San Mateo County)]])</f>
        <v>25</v>
      </c>
      <c r="AE314" s="12" t="str">
        <f>Table1[[#This Row],[Please select your county]]</f>
        <v>San Mateo County</v>
      </c>
      <c r="AF314" s="41">
        <f>COUNTIF(AE:AE,Table1[[#This Row],[County]])</f>
        <v>124</v>
      </c>
      <c r="AG314" s="12">
        <v>2025</v>
      </c>
    </row>
    <row r="315" spans="1:33" ht="31" x14ac:dyDescent="0.35">
      <c r="A315" s="12">
        <v>496</v>
      </c>
      <c r="B315" s="12" t="s">
        <v>150</v>
      </c>
      <c r="C315" s="12"/>
      <c r="D315" s="12"/>
      <c r="E315" s="12"/>
      <c r="F315" s="12"/>
      <c r="G315" s="12" t="s">
        <v>368</v>
      </c>
      <c r="H315" s="12"/>
      <c r="I315" s="12"/>
      <c r="J315" s="12"/>
      <c r="K315" s="10" t="s">
        <v>273</v>
      </c>
      <c r="L315" s="10" t="s">
        <v>313</v>
      </c>
      <c r="M315" s="10" t="s">
        <v>269</v>
      </c>
      <c r="N315" s="10" t="s">
        <v>280</v>
      </c>
      <c r="O315" s="12" t="s">
        <v>39</v>
      </c>
      <c r="P315" s="12">
        <v>450</v>
      </c>
      <c r="Q315" s="12" t="s">
        <v>281</v>
      </c>
      <c r="R315" s="12" t="s">
        <v>76</v>
      </c>
      <c r="S315" s="12" t="s">
        <v>276</v>
      </c>
      <c r="T315" s="12" t="s">
        <v>159</v>
      </c>
      <c r="U315" s="12" t="s">
        <v>160</v>
      </c>
      <c r="V315" s="12"/>
      <c r="W315" s="12"/>
      <c r="X315" s="12"/>
      <c r="Y315" s="12"/>
      <c r="Z315" s="12"/>
      <c r="AA315" s="12"/>
      <c r="AB315" s="12"/>
      <c r="AC315" s="12" t="str">
        <f>Table1[[#This Row],[City or Community (San Mateo County)]]</f>
        <v>Belmont</v>
      </c>
      <c r="AD315" s="12">
        <f>COUNTIF(G:G,Table1[[#This Row],[City or Community (San Mateo County)]])</f>
        <v>25</v>
      </c>
      <c r="AE315" s="12" t="str">
        <f>Table1[[#This Row],[Please select your county]]</f>
        <v>San Mateo County</v>
      </c>
      <c r="AF315" s="41">
        <f>COUNTIF(AE:AE,Table1[[#This Row],[County]])</f>
        <v>124</v>
      </c>
      <c r="AG315" s="12">
        <v>2025</v>
      </c>
    </row>
    <row r="316" spans="1:33" ht="31" x14ac:dyDescent="0.35">
      <c r="A316" s="12">
        <v>396</v>
      </c>
      <c r="B316" s="12" t="s">
        <v>150</v>
      </c>
      <c r="C316" s="12"/>
      <c r="D316" s="12"/>
      <c r="E316" s="12"/>
      <c r="F316" s="12"/>
      <c r="G316" s="12" t="s">
        <v>368</v>
      </c>
      <c r="H316" s="12"/>
      <c r="I316" s="12"/>
      <c r="J316" s="12"/>
      <c r="K316" s="10" t="s">
        <v>273</v>
      </c>
      <c r="L316" s="10" t="s">
        <v>277</v>
      </c>
      <c r="M316" s="10" t="s">
        <v>269</v>
      </c>
      <c r="N316" s="10" t="s">
        <v>280</v>
      </c>
      <c r="O316" s="12" t="s">
        <v>39</v>
      </c>
      <c r="P316" s="12">
        <v>463</v>
      </c>
      <c r="Q316" s="12" t="s">
        <v>271</v>
      </c>
      <c r="R316" s="12" t="s">
        <v>76</v>
      </c>
      <c r="S316" s="12" t="s">
        <v>276</v>
      </c>
      <c r="T316" s="12" t="s">
        <v>159</v>
      </c>
      <c r="U316" s="12" t="s">
        <v>160</v>
      </c>
      <c r="V316" s="12"/>
      <c r="W316" s="12"/>
      <c r="X316" s="12"/>
      <c r="Y316" s="12"/>
      <c r="Z316" s="12"/>
      <c r="AA316" s="12"/>
      <c r="AB316" s="12"/>
      <c r="AC316" s="12" t="str">
        <f>Table1[[#This Row],[City or Community (San Mateo County)]]</f>
        <v>Belmont</v>
      </c>
      <c r="AD316" s="12">
        <f>COUNTIF(G:G,Table1[[#This Row],[City or Community (San Mateo County)]])</f>
        <v>25</v>
      </c>
      <c r="AE316" s="12" t="str">
        <f>Table1[[#This Row],[Please select your county]]</f>
        <v>San Mateo County</v>
      </c>
      <c r="AF316" s="41">
        <f>COUNTIF(AE:AE,Table1[[#This Row],[County]])</f>
        <v>124</v>
      </c>
      <c r="AG316" s="12">
        <v>2025</v>
      </c>
    </row>
    <row r="317" spans="1:33" ht="15.5" x14ac:dyDescent="0.35">
      <c r="A317" s="12">
        <v>128</v>
      </c>
      <c r="B317" s="12" t="s">
        <v>150</v>
      </c>
      <c r="C317" s="12"/>
      <c r="D317" s="12"/>
      <c r="E317" s="12"/>
      <c r="F317" s="12"/>
      <c r="G317" s="12" t="s">
        <v>370</v>
      </c>
      <c r="H317" s="12"/>
      <c r="I317" s="12"/>
      <c r="J317" s="12"/>
      <c r="K317" s="10" t="s">
        <v>274</v>
      </c>
      <c r="L317" s="10"/>
      <c r="M317" s="10"/>
      <c r="N317" s="10"/>
      <c r="O317" s="12" t="s">
        <v>38</v>
      </c>
      <c r="P317" s="12">
        <v>478</v>
      </c>
      <c r="Q317" s="12" t="s">
        <v>281</v>
      </c>
      <c r="R317" s="12" t="s">
        <v>79</v>
      </c>
      <c r="S317" s="12" t="s">
        <v>284</v>
      </c>
      <c r="T317" s="12" t="s">
        <v>159</v>
      </c>
      <c r="U317" s="12" t="s">
        <v>160</v>
      </c>
      <c r="V317" s="12"/>
      <c r="W317" s="12"/>
      <c r="X317" s="12"/>
      <c r="Y317" s="12"/>
      <c r="Z317" s="12"/>
      <c r="AA317" s="12"/>
      <c r="AB317" s="12"/>
      <c r="AC317" s="12" t="str">
        <f>Table1[[#This Row],[City or Community (San Mateo County)]]</f>
        <v>Millbrae</v>
      </c>
      <c r="AD317" s="12">
        <f>COUNTIF(G:G,Table1[[#This Row],[City or Community (San Mateo County)]])</f>
        <v>25</v>
      </c>
      <c r="AE317" s="12" t="str">
        <f>Table1[[#This Row],[Please select your county]]</f>
        <v>San Mateo County</v>
      </c>
      <c r="AF317" s="41">
        <f>COUNTIF(AE:AE,Table1[[#This Row],[County]])</f>
        <v>124</v>
      </c>
      <c r="AG317" s="12">
        <v>2025</v>
      </c>
    </row>
    <row r="318" spans="1:33" ht="15.5" x14ac:dyDescent="0.35">
      <c r="A318" s="12">
        <v>498</v>
      </c>
      <c r="B318" s="12" t="s">
        <v>150</v>
      </c>
      <c r="C318" s="12"/>
      <c r="D318" s="12"/>
      <c r="E318" s="12"/>
      <c r="F318" s="12"/>
      <c r="G318" s="12" t="s">
        <v>370</v>
      </c>
      <c r="H318" s="12"/>
      <c r="I318" s="12"/>
      <c r="J318" s="12"/>
      <c r="K318" s="12" t="s">
        <v>274</v>
      </c>
      <c r="L318" s="12" t="s">
        <v>312</v>
      </c>
      <c r="M318" s="12" t="s">
        <v>269</v>
      </c>
      <c r="N318" s="12" t="s">
        <v>288</v>
      </c>
      <c r="O318" s="12" t="s">
        <v>38</v>
      </c>
      <c r="P318" s="12">
        <v>487</v>
      </c>
      <c r="Q318" s="12" t="s">
        <v>281</v>
      </c>
      <c r="R318" s="12" t="s">
        <v>79</v>
      </c>
      <c r="S318" s="12" t="s">
        <v>272</v>
      </c>
      <c r="T318" s="12" t="s">
        <v>159</v>
      </c>
      <c r="U318" s="12" t="s">
        <v>160</v>
      </c>
      <c r="V318" s="12"/>
      <c r="W318" s="12"/>
      <c r="X318" s="12"/>
      <c r="Y318" s="12"/>
      <c r="Z318" s="12"/>
      <c r="AA318" s="12"/>
      <c r="AB318" s="12"/>
      <c r="AC318" s="12" t="str">
        <f>Table1[[#This Row],[City or Community (San Mateo County)]]</f>
        <v>Millbrae</v>
      </c>
      <c r="AD318" s="12">
        <f>COUNTIF(G:G,Table1[[#This Row],[City or Community (San Mateo County)]])</f>
        <v>25</v>
      </c>
      <c r="AE318" s="12" t="str">
        <f>Table1[[#This Row],[Please select your county]]</f>
        <v>San Mateo County</v>
      </c>
      <c r="AF318" s="41">
        <f>COUNTIF(AE:AE,Table1[[#This Row],[County]])</f>
        <v>124</v>
      </c>
      <c r="AG318" s="12">
        <v>2025</v>
      </c>
    </row>
    <row r="319" spans="1:33" ht="31" x14ac:dyDescent="0.35">
      <c r="A319" s="12">
        <v>362</v>
      </c>
      <c r="B319" s="12" t="s">
        <v>150</v>
      </c>
      <c r="C319" s="12"/>
      <c r="D319" s="12"/>
      <c r="E319" s="12"/>
      <c r="F319" s="12"/>
      <c r="G319" s="12" t="s">
        <v>368</v>
      </c>
      <c r="H319" s="12"/>
      <c r="I319" s="12"/>
      <c r="J319" s="12"/>
      <c r="K319" s="10" t="s">
        <v>273</v>
      </c>
      <c r="L319" s="10" t="s">
        <v>268</v>
      </c>
      <c r="M319" s="10" t="s">
        <v>269</v>
      </c>
      <c r="N319" s="10" t="s">
        <v>280</v>
      </c>
      <c r="O319" s="12" t="s">
        <v>39</v>
      </c>
      <c r="P319" s="12">
        <v>490</v>
      </c>
      <c r="Q319" s="12" t="s">
        <v>281</v>
      </c>
      <c r="R319" s="12" t="s">
        <v>76</v>
      </c>
      <c r="S319" s="12" t="s">
        <v>276</v>
      </c>
      <c r="T319" s="12" t="s">
        <v>159</v>
      </c>
      <c r="U319" s="12" t="s">
        <v>160</v>
      </c>
      <c r="V319" s="12"/>
      <c r="W319" s="12"/>
      <c r="X319" s="12"/>
      <c r="Y319" s="12"/>
      <c r="Z319" s="12"/>
      <c r="AA319" s="12"/>
      <c r="AB319" s="12"/>
      <c r="AC319" s="12" t="str">
        <f>Table1[[#This Row],[City or Community (San Mateo County)]]</f>
        <v>Belmont</v>
      </c>
      <c r="AD319" s="12">
        <f>COUNTIF(G:G,Table1[[#This Row],[City or Community (San Mateo County)]])</f>
        <v>25</v>
      </c>
      <c r="AE319" s="12" t="str">
        <f>Table1[[#This Row],[Please select your county]]</f>
        <v>San Mateo County</v>
      </c>
      <c r="AF319" s="41">
        <f>COUNTIF(AE:AE,Table1[[#This Row],[County]])</f>
        <v>124</v>
      </c>
      <c r="AG319" s="12">
        <v>2025</v>
      </c>
    </row>
    <row r="320" spans="1:33" ht="15.5" x14ac:dyDescent="0.35">
      <c r="A320" s="12">
        <v>121</v>
      </c>
      <c r="B320" s="12" t="s">
        <v>150</v>
      </c>
      <c r="C320" s="12"/>
      <c r="D320" s="12"/>
      <c r="E320" s="12"/>
      <c r="F320" s="12"/>
      <c r="G320" s="12" t="s">
        <v>370</v>
      </c>
      <c r="H320" s="12"/>
      <c r="I320" s="12"/>
      <c r="J320" s="12"/>
      <c r="K320" s="10" t="s">
        <v>274</v>
      </c>
      <c r="L320" s="10"/>
      <c r="M320" s="10"/>
      <c r="N320" s="10"/>
      <c r="O320" s="12" t="s">
        <v>38</v>
      </c>
      <c r="P320" s="12">
        <v>499</v>
      </c>
      <c r="Q320" s="12" t="s">
        <v>271</v>
      </c>
      <c r="R320" s="12" t="s">
        <v>79</v>
      </c>
      <c r="S320" s="12" t="s">
        <v>292</v>
      </c>
      <c r="T320" s="12" t="s">
        <v>159</v>
      </c>
      <c r="U320" s="12" t="s">
        <v>160</v>
      </c>
      <c r="V320" s="12"/>
      <c r="W320" s="12"/>
      <c r="X320" s="12"/>
      <c r="Y320" s="12"/>
      <c r="Z320" s="12"/>
      <c r="AA320" s="12"/>
      <c r="AB320" s="12"/>
      <c r="AC320" s="12" t="str">
        <f>Table1[[#This Row],[City or Community (San Mateo County)]]</f>
        <v>Millbrae</v>
      </c>
      <c r="AD320" s="12">
        <f>COUNTIF(G:G,Table1[[#This Row],[City or Community (San Mateo County)]])</f>
        <v>25</v>
      </c>
      <c r="AE320" s="12" t="str">
        <f>Table1[[#This Row],[Please select your county]]</f>
        <v>San Mateo County</v>
      </c>
      <c r="AF320" s="41">
        <f>COUNTIF(AE:AE,Table1[[#This Row],[County]])</f>
        <v>124</v>
      </c>
      <c r="AG320" s="12">
        <v>2025</v>
      </c>
    </row>
    <row r="321" spans="1:33" ht="31" x14ac:dyDescent="0.35">
      <c r="A321" s="12">
        <v>366</v>
      </c>
      <c r="B321" s="12" t="s">
        <v>150</v>
      </c>
      <c r="C321" s="12"/>
      <c r="D321" s="12"/>
      <c r="E321" s="12"/>
      <c r="F321" s="12"/>
      <c r="G321" s="12" t="s">
        <v>368</v>
      </c>
      <c r="H321" s="12"/>
      <c r="I321" s="12"/>
      <c r="J321" s="12"/>
      <c r="K321" s="10" t="s">
        <v>287</v>
      </c>
      <c r="L321" s="10" t="s">
        <v>279</v>
      </c>
      <c r="M321" s="10" t="s">
        <v>269</v>
      </c>
      <c r="N321" s="10" t="s">
        <v>278</v>
      </c>
      <c r="O321" s="12" t="s">
        <v>38</v>
      </c>
      <c r="P321" s="12">
        <v>550</v>
      </c>
      <c r="Q321" s="12" t="s">
        <v>281</v>
      </c>
      <c r="R321" s="12" t="s">
        <v>79</v>
      </c>
      <c r="S321" s="12" t="s">
        <v>276</v>
      </c>
      <c r="T321" s="12" t="s">
        <v>159</v>
      </c>
      <c r="U321" s="12" t="s">
        <v>160</v>
      </c>
      <c r="V321" s="12"/>
      <c r="W321" s="12"/>
      <c r="X321" s="12"/>
      <c r="Y321" s="12"/>
      <c r="Z321" s="12"/>
      <c r="AA321" s="12"/>
      <c r="AB321" s="12"/>
      <c r="AC321" s="12" t="str">
        <f>Table1[[#This Row],[City or Community (San Mateo County)]]</f>
        <v>Belmont</v>
      </c>
      <c r="AD321" s="12">
        <f>COUNTIF(G:G,Table1[[#This Row],[City or Community (San Mateo County)]])</f>
        <v>25</v>
      </c>
      <c r="AE321" s="12" t="str">
        <f>Table1[[#This Row],[Please select your county]]</f>
        <v>San Mateo County</v>
      </c>
      <c r="AF321" s="41">
        <f>COUNTIF(AE:AE,Table1[[#This Row],[County]])</f>
        <v>124</v>
      </c>
      <c r="AG321" s="12">
        <v>2025</v>
      </c>
    </row>
    <row r="322" spans="1:33" ht="31" x14ac:dyDescent="0.35">
      <c r="A322" s="12">
        <v>352</v>
      </c>
      <c r="B322" s="12" t="s">
        <v>150</v>
      </c>
      <c r="C322" s="12"/>
      <c r="D322" s="12"/>
      <c r="E322" s="12"/>
      <c r="F322" s="12"/>
      <c r="G322" s="12" t="s">
        <v>370</v>
      </c>
      <c r="H322" s="12"/>
      <c r="I322" s="12"/>
      <c r="J322" s="12"/>
      <c r="K322" s="10" t="s">
        <v>273</v>
      </c>
      <c r="L322" s="10" t="s">
        <v>277</v>
      </c>
      <c r="M322" s="10" t="s">
        <v>269</v>
      </c>
      <c r="N322" s="10" t="s">
        <v>278</v>
      </c>
      <c r="O322" s="12" t="s">
        <v>39</v>
      </c>
      <c r="P322" s="12">
        <v>550</v>
      </c>
      <c r="Q322" s="12" t="s">
        <v>281</v>
      </c>
      <c r="R322" s="12" t="s">
        <v>76</v>
      </c>
      <c r="S322" s="12" t="s">
        <v>272</v>
      </c>
      <c r="T322" s="12" t="s">
        <v>159</v>
      </c>
      <c r="U322" s="12" t="s">
        <v>160</v>
      </c>
      <c r="V322" s="12"/>
      <c r="W322" s="12"/>
      <c r="X322" s="12"/>
      <c r="Y322" s="12"/>
      <c r="Z322" s="12"/>
      <c r="AA322" s="12"/>
      <c r="AB322" s="12"/>
      <c r="AC322" s="12" t="str">
        <f>Table1[[#This Row],[City or Community (San Mateo County)]]</f>
        <v>Millbrae</v>
      </c>
      <c r="AD322" s="12">
        <f>COUNTIF(G:G,Table1[[#This Row],[City or Community (San Mateo County)]])</f>
        <v>25</v>
      </c>
      <c r="AE322" s="12" t="str">
        <f>Table1[[#This Row],[Please select your county]]</f>
        <v>San Mateo County</v>
      </c>
      <c r="AF322" s="41">
        <f>COUNTIF(AE:AE,Table1[[#This Row],[County]])</f>
        <v>124</v>
      </c>
      <c r="AG322" s="12">
        <v>2025</v>
      </c>
    </row>
    <row r="323" spans="1:33" ht="31" x14ac:dyDescent="0.35">
      <c r="A323" s="12">
        <v>414</v>
      </c>
      <c r="B323" s="12" t="s">
        <v>150</v>
      </c>
      <c r="C323" s="12"/>
      <c r="D323" s="12"/>
      <c r="E323" s="12"/>
      <c r="F323" s="12"/>
      <c r="G323" s="12" t="s">
        <v>368</v>
      </c>
      <c r="H323" s="12"/>
      <c r="I323" s="12"/>
      <c r="J323" s="12"/>
      <c r="K323" s="10" t="s">
        <v>274</v>
      </c>
      <c r="L323" s="10" t="s">
        <v>277</v>
      </c>
      <c r="M323" s="10" t="s">
        <v>317</v>
      </c>
      <c r="N323" s="10" t="s">
        <v>280</v>
      </c>
      <c r="O323" s="12" t="s">
        <v>38</v>
      </c>
      <c r="P323" s="12">
        <v>600</v>
      </c>
      <c r="Q323" s="12" t="s">
        <v>281</v>
      </c>
      <c r="R323" s="12" t="s">
        <v>165</v>
      </c>
      <c r="S323" s="12" t="s">
        <v>276</v>
      </c>
      <c r="T323" s="12" t="s">
        <v>159</v>
      </c>
      <c r="U323" s="12" t="s">
        <v>160</v>
      </c>
      <c r="V323" s="12"/>
      <c r="W323" s="12"/>
      <c r="X323" s="12"/>
      <c r="Y323" s="12"/>
      <c r="Z323" s="12"/>
      <c r="AA323" s="12"/>
      <c r="AB323" s="12"/>
      <c r="AC323" s="12" t="str">
        <f>Table1[[#This Row],[City or Community (San Mateo County)]]</f>
        <v>Belmont</v>
      </c>
      <c r="AD323" s="12">
        <f>COUNTIF(G:G,Table1[[#This Row],[City or Community (San Mateo County)]])</f>
        <v>25</v>
      </c>
      <c r="AE323" s="12" t="str">
        <f>Table1[[#This Row],[Please select your county]]</f>
        <v>San Mateo County</v>
      </c>
      <c r="AF323" s="41">
        <f>COUNTIF(AE:AE,Table1[[#This Row],[County]])</f>
        <v>124</v>
      </c>
      <c r="AG323" s="12">
        <v>2025</v>
      </c>
    </row>
    <row r="324" spans="1:33" ht="31" x14ac:dyDescent="0.35">
      <c r="A324" s="12">
        <v>553</v>
      </c>
      <c r="B324" s="12" t="s">
        <v>150</v>
      </c>
      <c r="C324" s="12"/>
      <c r="D324" s="12"/>
      <c r="E324" s="12"/>
      <c r="F324" s="12"/>
      <c r="G324" s="12" t="s">
        <v>370</v>
      </c>
      <c r="H324" s="12"/>
      <c r="I324" s="12"/>
      <c r="J324" s="12"/>
      <c r="K324" s="10" t="s">
        <v>274</v>
      </c>
      <c r="L324" s="10" t="s">
        <v>279</v>
      </c>
      <c r="M324" s="10" t="s">
        <v>269</v>
      </c>
      <c r="N324" s="10" t="s">
        <v>278</v>
      </c>
      <c r="O324" s="12" t="s">
        <v>38</v>
      </c>
      <c r="P324" s="12">
        <v>600</v>
      </c>
      <c r="Q324" s="12" t="s">
        <v>281</v>
      </c>
      <c r="R324" s="12" t="s">
        <v>79</v>
      </c>
      <c r="S324" s="12" t="s">
        <v>272</v>
      </c>
      <c r="T324" s="12" t="s">
        <v>159</v>
      </c>
      <c r="U324" s="12" t="s">
        <v>160</v>
      </c>
      <c r="V324" s="12"/>
      <c r="W324" s="12"/>
      <c r="X324" s="12"/>
      <c r="Y324" s="12"/>
      <c r="Z324" s="12"/>
      <c r="AA324" s="12"/>
      <c r="AB324" s="12"/>
      <c r="AC324" s="12" t="str">
        <f>Table1[[#This Row],[City or Community (San Mateo County)]]</f>
        <v>Millbrae</v>
      </c>
      <c r="AD324" s="12">
        <f>COUNTIF(G:G,Table1[[#This Row],[City or Community (San Mateo County)]])</f>
        <v>25</v>
      </c>
      <c r="AE324" s="12" t="str">
        <f>Table1[[#This Row],[Please select your county]]</f>
        <v>San Mateo County</v>
      </c>
      <c r="AF324" s="41">
        <f>COUNTIF(AE:AE,Table1[[#This Row],[County]])</f>
        <v>124</v>
      </c>
      <c r="AG324" s="12">
        <v>2025</v>
      </c>
    </row>
    <row r="325" spans="1:33" ht="15.5" x14ac:dyDescent="0.35">
      <c r="A325" s="12">
        <v>100</v>
      </c>
      <c r="B325" s="12" t="s">
        <v>150</v>
      </c>
      <c r="C325" s="12"/>
      <c r="D325" s="12"/>
      <c r="E325" s="12"/>
      <c r="F325" s="12"/>
      <c r="G325" s="12" t="s">
        <v>370</v>
      </c>
      <c r="H325" s="12"/>
      <c r="I325" s="12"/>
      <c r="J325" s="12"/>
      <c r="K325" s="10" t="s">
        <v>274</v>
      </c>
      <c r="L325" s="10"/>
      <c r="M325" s="10"/>
      <c r="N325" s="10"/>
      <c r="O325" s="12" t="s">
        <v>38</v>
      </c>
      <c r="P325" s="12">
        <v>621</v>
      </c>
      <c r="Q325" s="12" t="s">
        <v>281</v>
      </c>
      <c r="R325" s="12" t="s">
        <v>79</v>
      </c>
      <c r="S325" s="12" t="s">
        <v>292</v>
      </c>
      <c r="T325" s="12" t="s">
        <v>159</v>
      </c>
      <c r="U325" s="12" t="s">
        <v>160</v>
      </c>
      <c r="V325" s="12"/>
      <c r="W325" s="12"/>
      <c r="X325" s="12"/>
      <c r="Y325" s="12"/>
      <c r="Z325" s="12"/>
      <c r="AA325" s="12"/>
      <c r="AB325" s="12"/>
      <c r="AC325" s="12" t="str">
        <f>Table1[[#This Row],[City or Community (San Mateo County)]]</f>
        <v>Millbrae</v>
      </c>
      <c r="AD325" s="12">
        <f>COUNTIF(G:G,Table1[[#This Row],[City or Community (San Mateo County)]])</f>
        <v>25</v>
      </c>
      <c r="AE325" s="12" t="str">
        <f>Table1[[#This Row],[Please select your county]]</f>
        <v>San Mateo County</v>
      </c>
      <c r="AF325" s="41">
        <f>COUNTIF(AE:AE,Table1[[#This Row],[County]])</f>
        <v>124</v>
      </c>
      <c r="AG325" s="12">
        <v>2025</v>
      </c>
    </row>
    <row r="326" spans="1:33" ht="15.5" x14ac:dyDescent="0.35">
      <c r="A326" s="12">
        <v>552</v>
      </c>
      <c r="B326" s="12" t="s">
        <v>150</v>
      </c>
      <c r="C326" s="12"/>
      <c r="D326" s="12"/>
      <c r="E326" s="12"/>
      <c r="F326" s="12"/>
      <c r="G326" s="12" t="s">
        <v>370</v>
      </c>
      <c r="H326" s="12"/>
      <c r="I326" s="12"/>
      <c r="J326" s="12"/>
      <c r="K326" s="12" t="s">
        <v>274</v>
      </c>
      <c r="L326" s="12" t="s">
        <v>313</v>
      </c>
      <c r="M326" s="12" t="s">
        <v>269</v>
      </c>
      <c r="N326" s="12" t="s">
        <v>278</v>
      </c>
      <c r="O326" s="12" t="s">
        <v>38</v>
      </c>
      <c r="P326" s="12">
        <v>667</v>
      </c>
      <c r="Q326" s="12" t="s">
        <v>295</v>
      </c>
      <c r="R326" s="12" t="s">
        <v>79</v>
      </c>
      <c r="S326" s="12" t="s">
        <v>276</v>
      </c>
      <c r="T326" s="12" t="s">
        <v>159</v>
      </c>
      <c r="U326" s="12" t="s">
        <v>160</v>
      </c>
      <c r="V326" s="12"/>
      <c r="W326" s="12"/>
      <c r="X326" s="12"/>
      <c r="Y326" s="12"/>
      <c r="Z326" s="12"/>
      <c r="AA326" s="12"/>
      <c r="AB326" s="12"/>
      <c r="AC326" s="12" t="str">
        <f>Table1[[#This Row],[City or Community (San Mateo County)]]</f>
        <v>Millbrae</v>
      </c>
      <c r="AD326" s="12">
        <f>COUNTIF(G:G,Table1[[#This Row],[City or Community (San Mateo County)]])</f>
        <v>25</v>
      </c>
      <c r="AE326" s="12" t="str">
        <f>Table1[[#This Row],[Please select your county]]</f>
        <v>San Mateo County</v>
      </c>
      <c r="AF326" s="41">
        <f>COUNTIF(AE:AE,Table1[[#This Row],[County]])</f>
        <v>124</v>
      </c>
      <c r="AG326" s="12">
        <v>2025</v>
      </c>
    </row>
    <row r="327" spans="1:33" ht="15.5" x14ac:dyDescent="0.35">
      <c r="A327" s="12">
        <v>579</v>
      </c>
      <c r="B327" s="12" t="s">
        <v>150</v>
      </c>
      <c r="C327" s="12"/>
      <c r="D327" s="12"/>
      <c r="E327" s="12"/>
      <c r="F327" s="12"/>
      <c r="G327" s="12" t="s">
        <v>368</v>
      </c>
      <c r="H327" s="12"/>
      <c r="I327" s="12"/>
      <c r="J327" s="12"/>
      <c r="K327" s="12" t="s">
        <v>274</v>
      </c>
      <c r="L327" s="12" t="s">
        <v>279</v>
      </c>
      <c r="M327" s="12" t="s">
        <v>269</v>
      </c>
      <c r="N327" s="12" t="s">
        <v>280</v>
      </c>
      <c r="O327" s="12" t="s">
        <v>38</v>
      </c>
      <c r="P327" s="12">
        <v>700</v>
      </c>
      <c r="Q327" s="12" t="s">
        <v>281</v>
      </c>
      <c r="R327" s="12" t="s">
        <v>79</v>
      </c>
      <c r="S327" s="12" t="s">
        <v>282</v>
      </c>
      <c r="T327" s="12" t="s">
        <v>159</v>
      </c>
      <c r="U327" s="12" t="s">
        <v>160</v>
      </c>
      <c r="V327" s="12"/>
      <c r="W327" s="12"/>
      <c r="X327" s="12"/>
      <c r="Y327" s="12"/>
      <c r="Z327" s="12"/>
      <c r="AA327" s="12"/>
      <c r="AB327" s="12"/>
      <c r="AC327" s="12" t="str">
        <f>Table1[[#This Row],[City or Community (San Mateo County)]]</f>
        <v>Belmont</v>
      </c>
      <c r="AD327" s="12">
        <f>COUNTIF(G:G,Table1[[#This Row],[City or Community (San Mateo County)]])</f>
        <v>25</v>
      </c>
      <c r="AE327" s="12" t="str">
        <f>Table1[[#This Row],[Please select your county]]</f>
        <v>San Mateo County</v>
      </c>
      <c r="AF327" s="41">
        <f>COUNTIF(AE:AE,Table1[[#This Row],[County]])</f>
        <v>124</v>
      </c>
      <c r="AG327" s="12">
        <v>2025</v>
      </c>
    </row>
    <row r="328" spans="1:33" ht="31" x14ac:dyDescent="0.35">
      <c r="A328" s="12">
        <v>499</v>
      </c>
      <c r="B328" s="12" t="s">
        <v>150</v>
      </c>
      <c r="C328" s="12"/>
      <c r="D328" s="12"/>
      <c r="E328" s="12"/>
      <c r="F328" s="12"/>
      <c r="G328" s="12" t="s">
        <v>370</v>
      </c>
      <c r="H328" s="12"/>
      <c r="I328" s="12"/>
      <c r="J328" s="12"/>
      <c r="K328" s="10" t="s">
        <v>316</v>
      </c>
      <c r="L328" s="10" t="s">
        <v>279</v>
      </c>
      <c r="M328" s="10" t="s">
        <v>269</v>
      </c>
      <c r="N328" s="10" t="s">
        <v>278</v>
      </c>
      <c r="O328" s="12" t="s">
        <v>38</v>
      </c>
      <c r="P328" s="12">
        <v>700</v>
      </c>
      <c r="Q328" s="12" t="s">
        <v>281</v>
      </c>
      <c r="R328" s="12" t="s">
        <v>79</v>
      </c>
      <c r="S328" s="12" t="s">
        <v>276</v>
      </c>
      <c r="T328" s="12" t="s">
        <v>159</v>
      </c>
      <c r="U328" s="12" t="s">
        <v>160</v>
      </c>
      <c r="V328" s="12"/>
      <c r="W328" s="12"/>
      <c r="X328" s="12"/>
      <c r="Y328" s="12"/>
      <c r="Z328" s="12"/>
      <c r="AA328" s="12"/>
      <c r="AB328" s="12"/>
      <c r="AC328" s="12" t="str">
        <f>Table1[[#This Row],[City or Community (San Mateo County)]]</f>
        <v>Millbrae</v>
      </c>
      <c r="AD328" s="12">
        <f>COUNTIF(G:G,Table1[[#This Row],[City or Community (San Mateo County)]])</f>
        <v>25</v>
      </c>
      <c r="AE328" s="12" t="str">
        <f>Table1[[#This Row],[Please select your county]]</f>
        <v>San Mateo County</v>
      </c>
      <c r="AF328" s="41">
        <f>COUNTIF(AE:AE,Table1[[#This Row],[County]])</f>
        <v>124</v>
      </c>
      <c r="AG328" s="12">
        <v>2025</v>
      </c>
    </row>
    <row r="329" spans="1:33" ht="15.5" x14ac:dyDescent="0.35">
      <c r="A329" s="12">
        <v>287</v>
      </c>
      <c r="B329" s="12" t="s">
        <v>150</v>
      </c>
      <c r="C329" s="12"/>
      <c r="D329" s="12"/>
      <c r="E329" s="12"/>
      <c r="F329" s="12"/>
      <c r="G329" s="12" t="s">
        <v>370</v>
      </c>
      <c r="H329" s="12"/>
      <c r="I329" s="12"/>
      <c r="J329" s="12"/>
      <c r="K329" s="10" t="s">
        <v>274</v>
      </c>
      <c r="L329" s="10"/>
      <c r="M329" s="10"/>
      <c r="N329" s="10"/>
      <c r="O329" s="12" t="s">
        <v>38</v>
      </c>
      <c r="P329" s="12">
        <v>714</v>
      </c>
      <c r="Q329" s="12" t="s">
        <v>281</v>
      </c>
      <c r="R329" s="12" t="s">
        <v>79</v>
      </c>
      <c r="S329" s="12" t="s">
        <v>276</v>
      </c>
      <c r="T329" s="12" t="s">
        <v>159</v>
      </c>
      <c r="U329" s="12" t="s">
        <v>160</v>
      </c>
      <c r="V329" s="12"/>
      <c r="W329" s="12"/>
      <c r="X329" s="12"/>
      <c r="Y329" s="12"/>
      <c r="Z329" s="12"/>
      <c r="AA329" s="12"/>
      <c r="AB329" s="12"/>
      <c r="AC329" s="12" t="str">
        <f>Table1[[#This Row],[City or Community (San Mateo County)]]</f>
        <v>Millbrae</v>
      </c>
      <c r="AD329" s="12">
        <f>COUNTIF(G:G,Table1[[#This Row],[City or Community (San Mateo County)]])</f>
        <v>25</v>
      </c>
      <c r="AE329" s="12" t="str">
        <f>Table1[[#This Row],[Please select your county]]</f>
        <v>San Mateo County</v>
      </c>
      <c r="AF329" s="41">
        <f>COUNTIF(AE:AE,Table1[[#This Row],[County]])</f>
        <v>124</v>
      </c>
      <c r="AG329" s="12">
        <v>2025</v>
      </c>
    </row>
    <row r="330" spans="1:33" ht="15.5" x14ac:dyDescent="0.35">
      <c r="A330" s="12">
        <v>200</v>
      </c>
      <c r="B330" s="12" t="s">
        <v>150</v>
      </c>
      <c r="C330" s="12"/>
      <c r="D330" s="12"/>
      <c r="E330" s="12"/>
      <c r="F330" s="12"/>
      <c r="G330" s="12" t="s">
        <v>370</v>
      </c>
      <c r="H330" s="12"/>
      <c r="I330" s="12"/>
      <c r="J330" s="12"/>
      <c r="K330" s="10" t="s">
        <v>373</v>
      </c>
      <c r="L330" s="10"/>
      <c r="M330" s="10"/>
      <c r="N330" s="10"/>
      <c r="O330" s="12" t="s">
        <v>38</v>
      </c>
      <c r="P330" s="12">
        <v>714</v>
      </c>
      <c r="Q330" s="12" t="s">
        <v>281</v>
      </c>
      <c r="R330" s="12" t="s">
        <v>70</v>
      </c>
      <c r="S330" s="12" t="s">
        <v>284</v>
      </c>
      <c r="T330" s="12" t="s">
        <v>159</v>
      </c>
      <c r="U330" s="12" t="s">
        <v>160</v>
      </c>
      <c r="V330" s="12"/>
      <c r="W330" s="12"/>
      <c r="X330" s="12"/>
      <c r="Y330" s="12"/>
      <c r="Z330" s="12"/>
      <c r="AA330" s="12"/>
      <c r="AB330" s="12"/>
      <c r="AC330" s="12" t="str">
        <f>Table1[[#This Row],[City or Community (San Mateo County)]]</f>
        <v>Millbrae</v>
      </c>
      <c r="AD330" s="12">
        <f>COUNTIF(G:G,Table1[[#This Row],[City or Community (San Mateo County)]])</f>
        <v>25</v>
      </c>
      <c r="AE330" s="12" t="str">
        <f>Table1[[#This Row],[Please select your county]]</f>
        <v>San Mateo County</v>
      </c>
      <c r="AF330" s="41">
        <f>COUNTIF(AE:AE,Table1[[#This Row],[County]])</f>
        <v>124</v>
      </c>
      <c r="AG330" s="12">
        <v>2025</v>
      </c>
    </row>
    <row r="331" spans="1:33" ht="31" x14ac:dyDescent="0.35">
      <c r="A331" s="12">
        <v>398</v>
      </c>
      <c r="B331" s="12" t="s">
        <v>150</v>
      </c>
      <c r="C331" s="12"/>
      <c r="D331" s="12"/>
      <c r="E331" s="12"/>
      <c r="F331" s="12"/>
      <c r="G331" s="12" t="s">
        <v>368</v>
      </c>
      <c r="H331" s="12"/>
      <c r="I331" s="12"/>
      <c r="J331" s="12"/>
      <c r="K331" s="10" t="s">
        <v>267</v>
      </c>
      <c r="L331" s="10" t="s">
        <v>277</v>
      </c>
      <c r="M331" s="10" t="s">
        <v>269</v>
      </c>
      <c r="N331" s="10" t="s">
        <v>280</v>
      </c>
      <c r="O331" s="12" t="s">
        <v>38</v>
      </c>
      <c r="P331" s="12">
        <v>729</v>
      </c>
      <c r="Q331" s="12" t="s">
        <v>295</v>
      </c>
      <c r="R331" s="12" t="s">
        <v>165</v>
      </c>
      <c r="S331" s="12" t="s">
        <v>276</v>
      </c>
      <c r="T331" s="12" t="s">
        <v>159</v>
      </c>
      <c r="U331" s="12" t="s">
        <v>160</v>
      </c>
      <c r="V331" s="12"/>
      <c r="W331" s="12"/>
      <c r="X331" s="12"/>
      <c r="Y331" s="12"/>
      <c r="Z331" s="12"/>
      <c r="AA331" s="12"/>
      <c r="AB331" s="12"/>
      <c r="AC331" s="12" t="str">
        <f>Table1[[#This Row],[City or Community (San Mateo County)]]</f>
        <v>Belmont</v>
      </c>
      <c r="AD331" s="12">
        <f>COUNTIF(G:G,Table1[[#This Row],[City or Community (San Mateo County)]])</f>
        <v>25</v>
      </c>
      <c r="AE331" s="12" t="str">
        <f>Table1[[#This Row],[Please select your county]]</f>
        <v>San Mateo County</v>
      </c>
      <c r="AF331" s="41">
        <f>COUNTIF(AE:AE,Table1[[#This Row],[County]])</f>
        <v>124</v>
      </c>
      <c r="AG331" s="12">
        <v>2025</v>
      </c>
    </row>
    <row r="332" spans="1:33" ht="31" x14ac:dyDescent="0.35">
      <c r="A332" s="12">
        <v>383</v>
      </c>
      <c r="B332" s="12" t="s">
        <v>150</v>
      </c>
      <c r="C332" s="12"/>
      <c r="D332" s="12"/>
      <c r="E332" s="12"/>
      <c r="F332" s="12"/>
      <c r="G332" s="12" t="s">
        <v>368</v>
      </c>
      <c r="H332" s="12"/>
      <c r="I332" s="12"/>
      <c r="J332" s="12"/>
      <c r="K332" s="10" t="s">
        <v>374</v>
      </c>
      <c r="L332" s="10" t="s">
        <v>277</v>
      </c>
      <c r="M332" s="10" t="s">
        <v>269</v>
      </c>
      <c r="N332" s="10" t="s">
        <v>280</v>
      </c>
      <c r="O332" s="12" t="s">
        <v>38</v>
      </c>
      <c r="P332" s="12">
        <v>740</v>
      </c>
      <c r="Q332" s="12" t="s">
        <v>281</v>
      </c>
      <c r="R332" s="12" t="s">
        <v>165</v>
      </c>
      <c r="S332" s="12" t="s">
        <v>276</v>
      </c>
      <c r="T332" s="12" t="s">
        <v>159</v>
      </c>
      <c r="U332" s="12" t="s">
        <v>160</v>
      </c>
      <c r="V332" s="12"/>
      <c r="W332" s="12"/>
      <c r="X332" s="12"/>
      <c r="Y332" s="12"/>
      <c r="Z332" s="12"/>
      <c r="AA332" s="12"/>
      <c r="AB332" s="12"/>
      <c r="AC332" s="12" t="str">
        <f>Table1[[#This Row],[City or Community (San Mateo County)]]</f>
        <v>Belmont</v>
      </c>
      <c r="AD332" s="12">
        <f>COUNTIF(G:G,Table1[[#This Row],[City or Community (San Mateo County)]])</f>
        <v>25</v>
      </c>
      <c r="AE332" s="12" t="str">
        <f>Table1[[#This Row],[Please select your county]]</f>
        <v>San Mateo County</v>
      </c>
      <c r="AF332" s="41">
        <f>COUNTIF(AE:AE,Table1[[#This Row],[County]])</f>
        <v>124</v>
      </c>
      <c r="AG332" s="12">
        <v>2025</v>
      </c>
    </row>
    <row r="333" spans="1:33" ht="31" x14ac:dyDescent="0.35">
      <c r="A333" s="12">
        <v>464</v>
      </c>
      <c r="B333" s="12" t="s">
        <v>150</v>
      </c>
      <c r="C333" s="12"/>
      <c r="D333" s="12"/>
      <c r="E333" s="12"/>
      <c r="F333" s="12"/>
      <c r="G333" s="12" t="s">
        <v>370</v>
      </c>
      <c r="H333" s="12"/>
      <c r="I333" s="12"/>
      <c r="J333" s="12"/>
      <c r="K333" s="10" t="s">
        <v>274</v>
      </c>
      <c r="L333" s="10" t="s">
        <v>279</v>
      </c>
      <c r="M333" s="10" t="s">
        <v>269</v>
      </c>
      <c r="N333" s="10" t="s">
        <v>278</v>
      </c>
      <c r="O333" s="12" t="s">
        <v>38</v>
      </c>
      <c r="P333" s="12">
        <v>745</v>
      </c>
      <c r="Q333" s="12" t="s">
        <v>295</v>
      </c>
      <c r="R333" s="12" t="s">
        <v>165</v>
      </c>
      <c r="S333" s="12" t="s">
        <v>276</v>
      </c>
      <c r="T333" s="12" t="s">
        <v>159</v>
      </c>
      <c r="U333" s="12" t="s">
        <v>160</v>
      </c>
      <c r="V333" s="12"/>
      <c r="W333" s="12"/>
      <c r="X333" s="12"/>
      <c r="Y333" s="12"/>
      <c r="Z333" s="12"/>
      <c r="AA333" s="12"/>
      <c r="AB333" s="12"/>
      <c r="AC333" s="12" t="str">
        <f>Table1[[#This Row],[City or Community (San Mateo County)]]</f>
        <v>Millbrae</v>
      </c>
      <c r="AD333" s="12">
        <f>COUNTIF(G:G,Table1[[#This Row],[City or Community (San Mateo County)]])</f>
        <v>25</v>
      </c>
      <c r="AE333" s="12" t="str">
        <f>Table1[[#This Row],[Please select your county]]</f>
        <v>San Mateo County</v>
      </c>
      <c r="AF333" s="41">
        <f>COUNTIF(AE:AE,Table1[[#This Row],[County]])</f>
        <v>124</v>
      </c>
      <c r="AG333" s="12">
        <v>2025</v>
      </c>
    </row>
    <row r="334" spans="1:33" ht="31" x14ac:dyDescent="0.35">
      <c r="A334" s="12">
        <v>554</v>
      </c>
      <c r="B334" s="12" t="s">
        <v>150</v>
      </c>
      <c r="C334" s="12"/>
      <c r="D334" s="12"/>
      <c r="E334" s="12"/>
      <c r="F334" s="12"/>
      <c r="G334" s="12" t="s">
        <v>370</v>
      </c>
      <c r="H334" s="12"/>
      <c r="I334" s="12"/>
      <c r="J334" s="12"/>
      <c r="K334" s="10" t="s">
        <v>267</v>
      </c>
      <c r="L334" s="10" t="s">
        <v>279</v>
      </c>
      <c r="M334" s="10" t="s">
        <v>269</v>
      </c>
      <c r="N334" s="10" t="s">
        <v>280</v>
      </c>
      <c r="O334" s="12" t="s">
        <v>38</v>
      </c>
      <c r="P334" s="12">
        <v>745</v>
      </c>
      <c r="Q334" s="12" t="s">
        <v>295</v>
      </c>
      <c r="R334" s="12" t="s">
        <v>71</v>
      </c>
      <c r="S334" s="12" t="s">
        <v>275</v>
      </c>
      <c r="T334" s="12" t="s">
        <v>159</v>
      </c>
      <c r="U334" s="12" t="s">
        <v>159</v>
      </c>
      <c r="V334" s="12" t="s">
        <v>163</v>
      </c>
      <c r="W334" s="12" t="s">
        <v>299</v>
      </c>
      <c r="X334" s="12"/>
      <c r="Y334" s="12" t="s">
        <v>372</v>
      </c>
      <c r="Z334" s="12"/>
      <c r="AA334" s="12" t="s">
        <v>300</v>
      </c>
      <c r="AB334" s="12" t="s">
        <v>165</v>
      </c>
      <c r="AC334" s="12" t="str">
        <f>Table1[[#This Row],[City or Community (San Mateo County)]]</f>
        <v>Millbrae</v>
      </c>
      <c r="AD334" s="12">
        <f>COUNTIF(G:G,Table1[[#This Row],[City or Community (San Mateo County)]])</f>
        <v>25</v>
      </c>
      <c r="AE334" s="12" t="str">
        <f>Table1[[#This Row],[Please select your county]]</f>
        <v>San Mateo County</v>
      </c>
      <c r="AF334" s="41">
        <f>COUNTIF(AE:AE,Table1[[#This Row],[County]])</f>
        <v>124</v>
      </c>
      <c r="AG334" s="12">
        <v>2025</v>
      </c>
    </row>
    <row r="335" spans="1:33" ht="31" x14ac:dyDescent="0.35">
      <c r="A335" s="12">
        <v>462</v>
      </c>
      <c r="B335" s="12" t="s">
        <v>150</v>
      </c>
      <c r="C335" s="12"/>
      <c r="D335" s="12"/>
      <c r="E335" s="12"/>
      <c r="F335" s="12"/>
      <c r="G335" s="12" t="s">
        <v>370</v>
      </c>
      <c r="H335" s="12"/>
      <c r="I335" s="12"/>
      <c r="J335" s="12"/>
      <c r="K335" s="10" t="s">
        <v>267</v>
      </c>
      <c r="L335" s="10" t="s">
        <v>279</v>
      </c>
      <c r="M335" s="10" t="s">
        <v>269</v>
      </c>
      <c r="N335" s="10" t="s">
        <v>280</v>
      </c>
      <c r="O335" s="12" t="s">
        <v>38</v>
      </c>
      <c r="P335" s="12">
        <v>746</v>
      </c>
      <c r="Q335" s="12" t="s">
        <v>295</v>
      </c>
      <c r="R335" s="12" t="s">
        <v>165</v>
      </c>
      <c r="S335" s="12" t="s">
        <v>276</v>
      </c>
      <c r="T335" s="12" t="s">
        <v>159</v>
      </c>
      <c r="U335" s="12" t="s">
        <v>160</v>
      </c>
      <c r="V335" s="12"/>
      <c r="W335" s="12"/>
      <c r="X335" s="12"/>
      <c r="Y335" s="12"/>
      <c r="Z335" s="12"/>
      <c r="AA335" s="12"/>
      <c r="AB335" s="12"/>
      <c r="AC335" s="12" t="str">
        <f>Table1[[#This Row],[City or Community (San Mateo County)]]</f>
        <v>Millbrae</v>
      </c>
      <c r="AD335" s="12">
        <f>COUNTIF(G:G,Table1[[#This Row],[City or Community (San Mateo County)]])</f>
        <v>25</v>
      </c>
      <c r="AE335" s="12" t="str">
        <f>Table1[[#This Row],[Please select your county]]</f>
        <v>San Mateo County</v>
      </c>
      <c r="AF335" s="41">
        <f>COUNTIF(AE:AE,Table1[[#This Row],[County]])</f>
        <v>124</v>
      </c>
      <c r="AG335" s="12">
        <v>2025</v>
      </c>
    </row>
    <row r="336" spans="1:33" ht="15.5" x14ac:dyDescent="0.35">
      <c r="A336" s="12">
        <v>580</v>
      </c>
      <c r="B336" s="12" t="s">
        <v>150</v>
      </c>
      <c r="C336" s="12"/>
      <c r="D336" s="12"/>
      <c r="E336" s="12"/>
      <c r="F336" s="12"/>
      <c r="G336" s="12" t="s">
        <v>370</v>
      </c>
      <c r="H336" s="12"/>
      <c r="I336" s="12"/>
      <c r="J336" s="12"/>
      <c r="K336" s="10" t="s">
        <v>274</v>
      </c>
      <c r="L336" s="10" t="s">
        <v>279</v>
      </c>
      <c r="M336" s="10" t="s">
        <v>269</v>
      </c>
      <c r="N336" s="10" t="s">
        <v>288</v>
      </c>
      <c r="O336" s="12" t="s">
        <v>38</v>
      </c>
      <c r="P336" s="12">
        <v>749</v>
      </c>
      <c r="Q336" s="12" t="s">
        <v>295</v>
      </c>
      <c r="R336" s="12" t="s">
        <v>71</v>
      </c>
      <c r="S336" s="12" t="s">
        <v>282</v>
      </c>
      <c r="T336" s="12" t="s">
        <v>159</v>
      </c>
      <c r="U336" s="12" t="s">
        <v>160</v>
      </c>
      <c r="V336" s="12"/>
      <c r="W336" s="12"/>
      <c r="X336" s="12"/>
      <c r="Y336" s="12"/>
      <c r="Z336" s="12"/>
      <c r="AA336" s="12"/>
      <c r="AB336" s="12"/>
      <c r="AC336" s="12" t="str">
        <f>Table1[[#This Row],[City or Community (San Mateo County)]]</f>
        <v>Millbrae</v>
      </c>
      <c r="AD336" s="12">
        <f>COUNTIF(G:G,Table1[[#This Row],[City or Community (San Mateo County)]])</f>
        <v>25</v>
      </c>
      <c r="AE336" s="12" t="str">
        <f>Table1[[#This Row],[Please select your county]]</f>
        <v>San Mateo County</v>
      </c>
      <c r="AF336" s="41">
        <f>COUNTIF(AE:AE,Table1[[#This Row],[County]])</f>
        <v>124</v>
      </c>
      <c r="AG336" s="12">
        <v>2025</v>
      </c>
    </row>
    <row r="337" spans="1:33" ht="31" x14ac:dyDescent="0.35">
      <c r="A337" s="12">
        <v>463</v>
      </c>
      <c r="B337" s="12" t="s">
        <v>150</v>
      </c>
      <c r="C337" s="12"/>
      <c r="D337" s="12"/>
      <c r="E337" s="12"/>
      <c r="F337" s="12"/>
      <c r="G337" s="12" t="s">
        <v>370</v>
      </c>
      <c r="H337" s="12"/>
      <c r="I337" s="12"/>
      <c r="J337" s="12"/>
      <c r="K337" s="10" t="s">
        <v>274</v>
      </c>
      <c r="L337" s="10" t="s">
        <v>279</v>
      </c>
      <c r="M337" s="10" t="s">
        <v>269</v>
      </c>
      <c r="N337" s="10" t="s">
        <v>280</v>
      </c>
      <c r="O337" s="12" t="s">
        <v>38</v>
      </c>
      <c r="P337" s="12">
        <v>749</v>
      </c>
      <c r="Q337" s="12" t="s">
        <v>295</v>
      </c>
      <c r="R337" s="12" t="s">
        <v>72</v>
      </c>
      <c r="S337" s="12" t="s">
        <v>284</v>
      </c>
      <c r="T337" s="12" t="s">
        <v>159</v>
      </c>
      <c r="U337" s="12" t="s">
        <v>160</v>
      </c>
      <c r="V337" s="12"/>
      <c r="W337" s="12"/>
      <c r="X337" s="12"/>
      <c r="Y337" s="12"/>
      <c r="Z337" s="12"/>
      <c r="AA337" s="12"/>
      <c r="AB337" s="12"/>
      <c r="AC337" s="12" t="str">
        <f>Table1[[#This Row],[City or Community (San Mateo County)]]</f>
        <v>Millbrae</v>
      </c>
      <c r="AD337" s="12">
        <f>COUNTIF(G:G,Table1[[#This Row],[City or Community (San Mateo County)]])</f>
        <v>25</v>
      </c>
      <c r="AE337" s="12" t="str">
        <f>Table1[[#This Row],[Please select your county]]</f>
        <v>San Mateo County</v>
      </c>
      <c r="AF337" s="41">
        <f>COUNTIF(AE:AE,Table1[[#This Row],[County]])</f>
        <v>124</v>
      </c>
      <c r="AG337" s="12">
        <v>2025</v>
      </c>
    </row>
    <row r="338" spans="1:33" ht="15.5" x14ac:dyDescent="0.35">
      <c r="A338" s="12">
        <v>608</v>
      </c>
      <c r="B338" s="12" t="s">
        <v>150</v>
      </c>
      <c r="C338" s="12"/>
      <c r="D338" s="12"/>
      <c r="E338" s="12"/>
      <c r="F338" s="12"/>
      <c r="G338" s="12" t="s">
        <v>370</v>
      </c>
      <c r="H338" s="12"/>
      <c r="I338" s="12"/>
      <c r="J338" s="12"/>
      <c r="K338" s="12" t="s">
        <v>294</v>
      </c>
      <c r="L338" s="12" t="s">
        <v>279</v>
      </c>
      <c r="M338" s="12" t="s">
        <v>269</v>
      </c>
      <c r="N338" s="12" t="s">
        <v>288</v>
      </c>
      <c r="O338" s="12" t="s">
        <v>38</v>
      </c>
      <c r="P338" s="12">
        <v>749</v>
      </c>
      <c r="Q338" s="12" t="s">
        <v>295</v>
      </c>
      <c r="R338" s="12" t="s">
        <v>79</v>
      </c>
      <c r="S338" s="12" t="s">
        <v>276</v>
      </c>
      <c r="T338" s="12" t="s">
        <v>159</v>
      </c>
      <c r="U338" s="12" t="s">
        <v>160</v>
      </c>
      <c r="V338" s="12"/>
      <c r="W338" s="12"/>
      <c r="X338" s="12"/>
      <c r="Y338" s="12"/>
      <c r="Z338" s="12"/>
      <c r="AA338" s="12"/>
      <c r="AB338" s="12"/>
      <c r="AC338" s="12" t="str">
        <f>Table1[[#This Row],[City or Community (San Mateo County)]]</f>
        <v>Millbrae</v>
      </c>
      <c r="AD338" s="12">
        <f>COUNTIF(G:G,Table1[[#This Row],[City or Community (San Mateo County)]])</f>
        <v>25</v>
      </c>
      <c r="AE338" s="12" t="str">
        <f>Table1[[#This Row],[Please select your county]]</f>
        <v>San Mateo County</v>
      </c>
      <c r="AF338" s="41">
        <f>COUNTIF(AE:AE,Table1[[#This Row],[County]])</f>
        <v>124</v>
      </c>
      <c r="AG338" s="12">
        <v>2025</v>
      </c>
    </row>
    <row r="339" spans="1:33" ht="31" x14ac:dyDescent="0.35">
      <c r="A339" s="12">
        <v>495</v>
      </c>
      <c r="B339" s="12" t="s">
        <v>150</v>
      </c>
      <c r="C339" s="12"/>
      <c r="D339" s="12"/>
      <c r="E339" s="12"/>
      <c r="F339" s="12"/>
      <c r="G339" s="12" t="s">
        <v>368</v>
      </c>
      <c r="H339" s="12"/>
      <c r="I339" s="12"/>
      <c r="J339" s="12"/>
      <c r="K339" s="10" t="s">
        <v>274</v>
      </c>
      <c r="L339" s="10" t="s">
        <v>279</v>
      </c>
      <c r="M339" s="10" t="s">
        <v>269</v>
      </c>
      <c r="N339" s="10" t="s">
        <v>280</v>
      </c>
      <c r="O339" s="12" t="s">
        <v>38</v>
      </c>
      <c r="P339" s="12">
        <v>750</v>
      </c>
      <c r="Q339" s="12" t="s">
        <v>271</v>
      </c>
      <c r="R339" s="12" t="s">
        <v>79</v>
      </c>
      <c r="S339" s="12" t="s">
        <v>272</v>
      </c>
      <c r="T339" s="12" t="s">
        <v>159</v>
      </c>
      <c r="U339" s="12" t="s">
        <v>160</v>
      </c>
      <c r="V339" s="12"/>
      <c r="W339" s="12"/>
      <c r="X339" s="12"/>
      <c r="Y339" s="12"/>
      <c r="Z339" s="12"/>
      <c r="AA339" s="12"/>
      <c r="AB339" s="12"/>
      <c r="AC339" s="12" t="str">
        <f>Table1[[#This Row],[City or Community (San Mateo County)]]</f>
        <v>Belmont</v>
      </c>
      <c r="AD339" s="12">
        <f>COUNTIF(G:G,Table1[[#This Row],[City or Community (San Mateo County)]])</f>
        <v>25</v>
      </c>
      <c r="AE339" s="12" t="str">
        <f>Table1[[#This Row],[Please select your county]]</f>
        <v>San Mateo County</v>
      </c>
      <c r="AF339" s="41">
        <f>COUNTIF(AE:AE,Table1[[#This Row],[County]])</f>
        <v>124</v>
      </c>
      <c r="AG339" s="12">
        <v>2025</v>
      </c>
    </row>
    <row r="340" spans="1:33" ht="15.5" x14ac:dyDescent="0.35">
      <c r="A340" s="12">
        <v>601</v>
      </c>
      <c r="B340" s="12" t="s">
        <v>150</v>
      </c>
      <c r="C340" s="12"/>
      <c r="D340" s="12"/>
      <c r="E340" s="12"/>
      <c r="F340" s="12"/>
      <c r="G340" s="12" t="s">
        <v>370</v>
      </c>
      <c r="H340" s="12"/>
      <c r="I340" s="12"/>
      <c r="J340" s="12"/>
      <c r="K340" s="12" t="s">
        <v>274</v>
      </c>
      <c r="L340" s="12" t="s">
        <v>279</v>
      </c>
      <c r="M340" s="12" t="s">
        <v>269</v>
      </c>
      <c r="N340" s="12" t="s">
        <v>280</v>
      </c>
      <c r="O340" s="12" t="s">
        <v>38</v>
      </c>
      <c r="P340" s="12">
        <v>780</v>
      </c>
      <c r="Q340" s="12" t="s">
        <v>295</v>
      </c>
      <c r="R340" s="12" t="s">
        <v>79</v>
      </c>
      <c r="S340" s="12" t="s">
        <v>272</v>
      </c>
      <c r="T340" s="12" t="s">
        <v>159</v>
      </c>
      <c r="U340" s="12" t="s">
        <v>160</v>
      </c>
      <c r="V340" s="12"/>
      <c r="W340" s="12"/>
      <c r="X340" s="12"/>
      <c r="Y340" s="12"/>
      <c r="Z340" s="12"/>
      <c r="AA340" s="12"/>
      <c r="AB340" s="12"/>
      <c r="AC340" s="12" t="str">
        <f>Table1[[#This Row],[City or Community (San Mateo County)]]</f>
        <v>Millbrae</v>
      </c>
      <c r="AD340" s="12">
        <f>COUNTIF(G:G,Table1[[#This Row],[City or Community (San Mateo County)]])</f>
        <v>25</v>
      </c>
      <c r="AE340" s="12" t="str">
        <f>Table1[[#This Row],[Please select your county]]</f>
        <v>San Mateo County</v>
      </c>
      <c r="AF340" s="41">
        <f>COUNTIF(AE:AE,Table1[[#This Row],[County]])</f>
        <v>124</v>
      </c>
      <c r="AG340" s="12">
        <v>2025</v>
      </c>
    </row>
    <row r="341" spans="1:33" ht="31" x14ac:dyDescent="0.35">
      <c r="A341" s="12">
        <v>466</v>
      </c>
      <c r="B341" s="12" t="s">
        <v>150</v>
      </c>
      <c r="C341" s="12"/>
      <c r="D341" s="12"/>
      <c r="E341" s="12"/>
      <c r="F341" s="12"/>
      <c r="G341" s="12" t="s">
        <v>368</v>
      </c>
      <c r="H341" s="12"/>
      <c r="I341" s="12"/>
      <c r="J341" s="12"/>
      <c r="K341" s="10" t="s">
        <v>294</v>
      </c>
      <c r="L341" s="10" t="s">
        <v>279</v>
      </c>
      <c r="M341" s="10" t="s">
        <v>269</v>
      </c>
      <c r="N341" s="10" t="s">
        <v>280</v>
      </c>
      <c r="O341" s="12" t="s">
        <v>38</v>
      </c>
      <c r="P341" s="12">
        <v>799</v>
      </c>
      <c r="Q341" s="12" t="s">
        <v>295</v>
      </c>
      <c r="R341" s="12" t="s">
        <v>79</v>
      </c>
      <c r="S341" s="12" t="s">
        <v>276</v>
      </c>
      <c r="T341" s="12" t="s">
        <v>159</v>
      </c>
      <c r="U341" s="12" t="s">
        <v>160</v>
      </c>
      <c r="V341" s="12"/>
      <c r="W341" s="12"/>
      <c r="X341" s="12"/>
      <c r="Y341" s="12"/>
      <c r="Z341" s="12"/>
      <c r="AA341" s="12"/>
      <c r="AB341" s="12"/>
      <c r="AC341" s="12" t="str">
        <f>Table1[[#This Row],[City or Community (San Mateo County)]]</f>
        <v>Belmont</v>
      </c>
      <c r="AD341" s="12">
        <f>COUNTIF(G:G,Table1[[#This Row],[City or Community (San Mateo County)]])</f>
        <v>25</v>
      </c>
      <c r="AE341" s="12" t="str">
        <f>Table1[[#This Row],[Please select your county]]</f>
        <v>San Mateo County</v>
      </c>
      <c r="AF341" s="41">
        <f>COUNTIF(AE:AE,Table1[[#This Row],[County]])</f>
        <v>124</v>
      </c>
      <c r="AG341" s="12">
        <v>2025</v>
      </c>
    </row>
    <row r="342" spans="1:33" ht="31" x14ac:dyDescent="0.35">
      <c r="A342" s="12">
        <v>350</v>
      </c>
      <c r="B342" s="12" t="s">
        <v>150</v>
      </c>
      <c r="C342" s="12"/>
      <c r="D342" s="12"/>
      <c r="E342" s="12"/>
      <c r="F342" s="12"/>
      <c r="G342" s="12" t="s">
        <v>368</v>
      </c>
      <c r="H342" s="12"/>
      <c r="I342" s="12"/>
      <c r="J342" s="12"/>
      <c r="K342" s="10" t="s">
        <v>274</v>
      </c>
      <c r="L342" s="10" t="s">
        <v>277</v>
      </c>
      <c r="M342" s="10" t="s">
        <v>269</v>
      </c>
      <c r="N342" s="10" t="s">
        <v>278</v>
      </c>
      <c r="O342" s="12" t="s">
        <v>38</v>
      </c>
      <c r="P342" s="12">
        <v>800</v>
      </c>
      <c r="Q342" s="12" t="s">
        <v>281</v>
      </c>
      <c r="R342" s="12" t="s">
        <v>79</v>
      </c>
      <c r="S342" s="12" t="s">
        <v>272</v>
      </c>
      <c r="T342" s="12" t="s">
        <v>159</v>
      </c>
      <c r="U342" s="12" t="s">
        <v>160</v>
      </c>
      <c r="V342" s="12"/>
      <c r="W342" s="12"/>
      <c r="X342" s="12"/>
      <c r="Y342" s="12"/>
      <c r="Z342" s="12"/>
      <c r="AA342" s="12"/>
      <c r="AB342" s="12"/>
      <c r="AC342" s="12" t="str">
        <f>Table1[[#This Row],[City or Community (San Mateo County)]]</f>
        <v>Belmont</v>
      </c>
      <c r="AD342" s="12">
        <f>COUNTIF(G:G,Table1[[#This Row],[City or Community (San Mateo County)]])</f>
        <v>25</v>
      </c>
      <c r="AE342" s="12" t="str">
        <f>Table1[[#This Row],[Please select your county]]</f>
        <v>San Mateo County</v>
      </c>
      <c r="AF342" s="41">
        <f>COUNTIF(AE:AE,Table1[[#This Row],[County]])</f>
        <v>124</v>
      </c>
      <c r="AG342" s="12">
        <v>2025</v>
      </c>
    </row>
    <row r="343" spans="1:33" ht="15.5" x14ac:dyDescent="0.35">
      <c r="A343" s="12">
        <v>436</v>
      </c>
      <c r="B343" s="12" t="s">
        <v>150</v>
      </c>
      <c r="C343" s="12"/>
      <c r="D343" s="12"/>
      <c r="E343" s="12"/>
      <c r="F343" s="12"/>
      <c r="G343" s="12" t="s">
        <v>368</v>
      </c>
      <c r="H343" s="12"/>
      <c r="I343" s="12"/>
      <c r="J343" s="12"/>
      <c r="K343" s="12" t="s">
        <v>287</v>
      </c>
      <c r="L343" s="12" t="s">
        <v>277</v>
      </c>
      <c r="M343" s="12" t="s">
        <v>269</v>
      </c>
      <c r="N343" s="12" t="s">
        <v>280</v>
      </c>
      <c r="O343" s="12" t="s">
        <v>38</v>
      </c>
      <c r="P343" s="12">
        <v>800</v>
      </c>
      <c r="Q343" s="12" t="s">
        <v>281</v>
      </c>
      <c r="R343" s="12" t="s">
        <v>79</v>
      </c>
      <c r="S343" s="12" t="s">
        <v>276</v>
      </c>
      <c r="T343" s="12" t="s">
        <v>159</v>
      </c>
      <c r="U343" s="12" t="s">
        <v>159</v>
      </c>
      <c r="V343" s="12" t="s">
        <v>162</v>
      </c>
      <c r="W343" s="12" t="s">
        <v>299</v>
      </c>
      <c r="X343" s="12" t="s">
        <v>177</v>
      </c>
      <c r="Y343" s="12" t="s">
        <v>290</v>
      </c>
      <c r="Z343" s="12"/>
      <c r="AA343" s="12" t="s">
        <v>291</v>
      </c>
      <c r="AB343" s="12" t="s">
        <v>189</v>
      </c>
      <c r="AC343" s="12" t="str">
        <f>Table1[[#This Row],[City or Community (San Mateo County)]]</f>
        <v>Belmont</v>
      </c>
      <c r="AD343" s="12">
        <f>COUNTIF(G:G,Table1[[#This Row],[City or Community (San Mateo County)]])</f>
        <v>25</v>
      </c>
      <c r="AE343" s="12" t="str">
        <f>Table1[[#This Row],[Please select your county]]</f>
        <v>San Mateo County</v>
      </c>
      <c r="AF343" s="41">
        <f>COUNTIF(AE:AE,Table1[[#This Row],[County]])</f>
        <v>124</v>
      </c>
      <c r="AG343" s="12">
        <v>2025</v>
      </c>
    </row>
    <row r="344" spans="1:33" ht="15.5" x14ac:dyDescent="0.35">
      <c r="A344" s="12">
        <v>95</v>
      </c>
      <c r="B344" s="12" t="s">
        <v>150</v>
      </c>
      <c r="C344" s="12"/>
      <c r="D344" s="12"/>
      <c r="E344" s="12"/>
      <c r="F344" s="12"/>
      <c r="G344" s="12" t="s">
        <v>370</v>
      </c>
      <c r="H344" s="12"/>
      <c r="I344" s="12"/>
      <c r="J344" s="12"/>
      <c r="K344" s="10" t="s">
        <v>375</v>
      </c>
      <c r="L344" s="10"/>
      <c r="M344" s="10"/>
      <c r="N344" s="10"/>
      <c r="O344" s="12" t="s">
        <v>38</v>
      </c>
      <c r="P344" s="12">
        <v>850</v>
      </c>
      <c r="Q344" s="12" t="s">
        <v>281</v>
      </c>
      <c r="R344" s="12" t="s">
        <v>79</v>
      </c>
      <c r="S344" s="12" t="s">
        <v>292</v>
      </c>
      <c r="T344" s="12" t="s">
        <v>159</v>
      </c>
      <c r="U344" s="12" t="s">
        <v>160</v>
      </c>
      <c r="V344" s="12"/>
      <c r="W344" s="12"/>
      <c r="X344" s="12"/>
      <c r="Y344" s="12"/>
      <c r="Z344" s="12"/>
      <c r="AA344" s="12"/>
      <c r="AB344" s="12"/>
      <c r="AC344" s="12" t="str">
        <f>Table1[[#This Row],[City or Community (San Mateo County)]]</f>
        <v>Millbrae</v>
      </c>
      <c r="AD344" s="12">
        <f>COUNTIF(G:G,Table1[[#This Row],[City or Community (San Mateo County)]])</f>
        <v>25</v>
      </c>
      <c r="AE344" s="12" t="str">
        <f>Table1[[#This Row],[Please select your county]]</f>
        <v>San Mateo County</v>
      </c>
      <c r="AF344" s="41">
        <f>COUNTIF(AE:AE,Table1[[#This Row],[County]])</f>
        <v>124</v>
      </c>
      <c r="AG344" s="12">
        <v>2025</v>
      </c>
    </row>
    <row r="345" spans="1:33" ht="31" x14ac:dyDescent="0.35">
      <c r="A345" s="12">
        <v>522</v>
      </c>
      <c r="B345" s="12" t="s">
        <v>150</v>
      </c>
      <c r="C345" s="12"/>
      <c r="D345" s="12"/>
      <c r="E345" s="12"/>
      <c r="F345" s="12"/>
      <c r="G345" s="12" t="s">
        <v>368</v>
      </c>
      <c r="H345" s="12"/>
      <c r="I345" s="12"/>
      <c r="J345" s="12"/>
      <c r="K345" s="10" t="s">
        <v>287</v>
      </c>
      <c r="L345" s="10" t="s">
        <v>279</v>
      </c>
      <c r="M345" s="10" t="s">
        <v>269</v>
      </c>
      <c r="N345" s="10" t="s">
        <v>280</v>
      </c>
      <c r="O345" s="12" t="s">
        <v>38</v>
      </c>
      <c r="P345" s="12">
        <v>920</v>
      </c>
      <c r="Q345" s="12" t="s">
        <v>295</v>
      </c>
      <c r="R345" s="12" t="s">
        <v>79</v>
      </c>
      <c r="S345" s="12" t="s">
        <v>276</v>
      </c>
      <c r="T345" s="12" t="s">
        <v>159</v>
      </c>
      <c r="U345" s="12" t="s">
        <v>160</v>
      </c>
      <c r="V345" s="12"/>
      <c r="W345" s="12"/>
      <c r="X345" s="12"/>
      <c r="Y345" s="12"/>
      <c r="Z345" s="12"/>
      <c r="AA345" s="12"/>
      <c r="AB345" s="12"/>
      <c r="AC345" s="12" t="str">
        <f>Table1[[#This Row],[City or Community (San Mateo County)]]</f>
        <v>Belmont</v>
      </c>
      <c r="AD345" s="12">
        <f>COUNTIF(G:G,Table1[[#This Row],[City or Community (San Mateo County)]])</f>
        <v>25</v>
      </c>
      <c r="AE345" s="12" t="str">
        <f>Table1[[#This Row],[Please select your county]]</f>
        <v>San Mateo County</v>
      </c>
      <c r="AF345" s="41">
        <f>COUNTIF(AE:AE,Table1[[#This Row],[County]])</f>
        <v>124</v>
      </c>
      <c r="AG345" s="12">
        <v>2025</v>
      </c>
    </row>
    <row r="346" spans="1:33" ht="31" x14ac:dyDescent="0.35">
      <c r="A346" s="12">
        <v>546</v>
      </c>
      <c r="B346" s="12" t="s">
        <v>150</v>
      </c>
      <c r="C346" s="12"/>
      <c r="D346" s="12"/>
      <c r="E346" s="12"/>
      <c r="F346" s="12"/>
      <c r="G346" s="12" t="s">
        <v>370</v>
      </c>
      <c r="H346" s="12"/>
      <c r="I346" s="12"/>
      <c r="J346" s="12"/>
      <c r="K346" s="10" t="s">
        <v>294</v>
      </c>
      <c r="L346" s="10" t="s">
        <v>279</v>
      </c>
      <c r="M346" s="10" t="s">
        <v>269</v>
      </c>
      <c r="N346" s="10" t="s">
        <v>280</v>
      </c>
      <c r="O346" s="12" t="s">
        <v>38</v>
      </c>
      <c r="P346" s="12">
        <v>972</v>
      </c>
      <c r="Q346" s="12" t="s">
        <v>295</v>
      </c>
      <c r="R346" s="12" t="s">
        <v>79</v>
      </c>
      <c r="S346" s="12" t="s">
        <v>276</v>
      </c>
      <c r="T346" s="12" t="s">
        <v>159</v>
      </c>
      <c r="U346" s="12" t="s">
        <v>160</v>
      </c>
      <c r="V346" s="12"/>
      <c r="W346" s="12"/>
      <c r="X346" s="12"/>
      <c r="Y346" s="12"/>
      <c r="Z346" s="12"/>
      <c r="AA346" s="12"/>
      <c r="AB346" s="12"/>
      <c r="AC346" s="12" t="str">
        <f>Table1[[#This Row],[City or Community (San Mateo County)]]</f>
        <v>Millbrae</v>
      </c>
      <c r="AD346" s="12">
        <f>COUNTIF(G:G,Table1[[#This Row],[City or Community (San Mateo County)]])</f>
        <v>25</v>
      </c>
      <c r="AE346" s="12" t="str">
        <f>Table1[[#This Row],[Please select your county]]</f>
        <v>San Mateo County</v>
      </c>
      <c r="AF346" s="41">
        <f>COUNTIF(AE:AE,Table1[[#This Row],[County]])</f>
        <v>124</v>
      </c>
      <c r="AG346" s="12">
        <v>2025</v>
      </c>
    </row>
    <row r="347" spans="1:33" ht="31" x14ac:dyDescent="0.35">
      <c r="A347" s="12">
        <v>542</v>
      </c>
      <c r="B347" s="12" t="s">
        <v>150</v>
      </c>
      <c r="C347" s="12"/>
      <c r="D347" s="12"/>
      <c r="E347" s="12"/>
      <c r="F347" s="12"/>
      <c r="G347" s="12" t="s">
        <v>370</v>
      </c>
      <c r="H347" s="12"/>
      <c r="I347" s="12"/>
      <c r="J347" s="12"/>
      <c r="K347" s="10" t="s">
        <v>267</v>
      </c>
      <c r="L347" s="10" t="s">
        <v>279</v>
      </c>
      <c r="M347" s="10" t="s">
        <v>269</v>
      </c>
      <c r="N347" s="10" t="s">
        <v>280</v>
      </c>
      <c r="O347" s="12" t="s">
        <v>38</v>
      </c>
      <c r="P347" s="12">
        <v>988</v>
      </c>
      <c r="Q347" s="12" t="s">
        <v>295</v>
      </c>
      <c r="R347" s="12" t="s">
        <v>74</v>
      </c>
      <c r="S347" s="12" t="s">
        <v>298</v>
      </c>
      <c r="T347" s="12" t="s">
        <v>159</v>
      </c>
      <c r="U347" s="12" t="s">
        <v>160</v>
      </c>
      <c r="V347" s="12"/>
      <c r="W347" s="12"/>
      <c r="X347" s="12"/>
      <c r="Y347" s="12"/>
      <c r="Z347" s="12"/>
      <c r="AA347" s="12"/>
      <c r="AB347" s="12"/>
      <c r="AC347" s="12" t="str">
        <f>Table1[[#This Row],[City or Community (San Mateo County)]]</f>
        <v>Millbrae</v>
      </c>
      <c r="AD347" s="12">
        <f>COUNTIF(G:G,Table1[[#This Row],[City or Community (San Mateo County)]])</f>
        <v>25</v>
      </c>
      <c r="AE347" s="12" t="str">
        <f>Table1[[#This Row],[Please select your county]]</f>
        <v>San Mateo County</v>
      </c>
      <c r="AF347" s="41">
        <f>COUNTIF(AE:AE,Table1[[#This Row],[County]])</f>
        <v>124</v>
      </c>
      <c r="AG347" s="12">
        <v>2025</v>
      </c>
    </row>
    <row r="348" spans="1:33" ht="31" x14ac:dyDescent="0.35">
      <c r="A348" s="12">
        <v>376</v>
      </c>
      <c r="B348" s="12" t="s">
        <v>150</v>
      </c>
      <c r="C348" s="12"/>
      <c r="D348" s="12"/>
      <c r="E348" s="12"/>
      <c r="F348" s="12"/>
      <c r="G348" s="12" t="s">
        <v>370</v>
      </c>
      <c r="H348" s="12"/>
      <c r="I348" s="12"/>
      <c r="J348" s="12"/>
      <c r="K348" s="10" t="s">
        <v>267</v>
      </c>
      <c r="L348" s="10" t="s">
        <v>279</v>
      </c>
      <c r="M348" s="10" t="s">
        <v>269</v>
      </c>
      <c r="N348" s="10" t="s">
        <v>280</v>
      </c>
      <c r="O348" s="12" t="s">
        <v>38</v>
      </c>
      <c r="P348" s="12">
        <v>1000</v>
      </c>
      <c r="Q348" s="12" t="s">
        <v>295</v>
      </c>
      <c r="R348" s="12" t="s">
        <v>74</v>
      </c>
      <c r="S348" s="12" t="s">
        <v>298</v>
      </c>
      <c r="T348" s="12" t="s">
        <v>159</v>
      </c>
      <c r="U348" s="12" t="s">
        <v>160</v>
      </c>
      <c r="V348" s="12"/>
      <c r="W348" s="12"/>
      <c r="X348" s="12"/>
      <c r="Y348" s="12"/>
      <c r="Z348" s="12"/>
      <c r="AA348" s="12"/>
      <c r="AB348" s="12"/>
      <c r="AC348" s="12" t="str">
        <f>Table1[[#This Row],[City or Community (San Mateo County)]]</f>
        <v>Millbrae</v>
      </c>
      <c r="AD348" s="12">
        <f>COUNTIF(G:G,Table1[[#This Row],[City or Community (San Mateo County)]])</f>
        <v>25</v>
      </c>
      <c r="AE348" s="12" t="str">
        <f>Table1[[#This Row],[Please select your county]]</f>
        <v>San Mateo County</v>
      </c>
      <c r="AF348" s="41">
        <f>COUNTIF(AE:AE,Table1[[#This Row],[County]])</f>
        <v>124</v>
      </c>
      <c r="AG348" s="12">
        <v>2025</v>
      </c>
    </row>
    <row r="349" spans="1:33" ht="15.5" x14ac:dyDescent="0.35">
      <c r="A349" s="12">
        <v>470</v>
      </c>
      <c r="B349" s="12" t="s">
        <v>150</v>
      </c>
      <c r="C349" s="12"/>
      <c r="D349" s="12"/>
      <c r="E349" s="12"/>
      <c r="F349" s="12"/>
      <c r="G349" s="12" t="s">
        <v>119</v>
      </c>
      <c r="H349" s="12"/>
      <c r="I349" s="12"/>
      <c r="J349" s="12"/>
      <c r="K349" s="12" t="s">
        <v>274</v>
      </c>
      <c r="L349" s="12" t="s">
        <v>279</v>
      </c>
      <c r="M349" s="12" t="s">
        <v>303</v>
      </c>
      <c r="N349" s="12" t="s">
        <v>280</v>
      </c>
      <c r="O349" s="12" t="s">
        <v>38</v>
      </c>
      <c r="P349" s="12">
        <v>256</v>
      </c>
      <c r="Q349" s="12" t="s">
        <v>271</v>
      </c>
      <c r="R349" s="12" t="s">
        <v>79</v>
      </c>
      <c r="S349" s="12" t="s">
        <v>272</v>
      </c>
      <c r="T349" s="12" t="s">
        <v>159</v>
      </c>
      <c r="U349" s="12" t="s">
        <v>160</v>
      </c>
      <c r="V349" s="12"/>
      <c r="W349" s="12"/>
      <c r="X349" s="12"/>
      <c r="Y349" s="12"/>
      <c r="Z349" s="12"/>
      <c r="AA349" s="12"/>
      <c r="AB349" s="12"/>
      <c r="AC349" s="12" t="str">
        <f>Table1[[#This Row],[City or Community (San Mateo County)]]</f>
        <v>San Bruno</v>
      </c>
      <c r="AD349" s="12">
        <f>COUNTIF(G:G,Table1[[#This Row],[City or Community (San Mateo County)]])</f>
        <v>13</v>
      </c>
      <c r="AE349" s="12" t="str">
        <f>Table1[[#This Row],[Please select your county]]</f>
        <v>San Mateo County</v>
      </c>
      <c r="AF349" s="41">
        <f>COUNTIF(AE:AE,Table1[[#This Row],[County]])</f>
        <v>124</v>
      </c>
      <c r="AG349" s="12">
        <v>2025</v>
      </c>
    </row>
    <row r="350" spans="1:33" ht="15.5" x14ac:dyDescent="0.35">
      <c r="A350" s="12">
        <v>222</v>
      </c>
      <c r="B350" s="12" t="s">
        <v>150</v>
      </c>
      <c r="C350" s="12"/>
      <c r="D350" s="12"/>
      <c r="E350" s="12"/>
      <c r="F350" s="12"/>
      <c r="G350" s="12" t="s">
        <v>119</v>
      </c>
      <c r="H350" s="12"/>
      <c r="I350" s="12"/>
      <c r="J350" s="12"/>
      <c r="K350" s="12" t="s">
        <v>274</v>
      </c>
      <c r="L350" s="12"/>
      <c r="M350" s="12"/>
      <c r="N350" s="12"/>
      <c r="O350" s="12" t="s">
        <v>38</v>
      </c>
      <c r="P350" s="12">
        <v>374</v>
      </c>
      <c r="Q350" s="12" t="s">
        <v>271</v>
      </c>
      <c r="R350" s="12" t="s">
        <v>79</v>
      </c>
      <c r="S350" s="12" t="s">
        <v>272</v>
      </c>
      <c r="T350" s="12" t="s">
        <v>159</v>
      </c>
      <c r="U350" s="12" t="s">
        <v>160</v>
      </c>
      <c r="V350" s="12"/>
      <c r="W350" s="12"/>
      <c r="X350" s="12"/>
      <c r="Y350" s="12"/>
      <c r="Z350" s="12"/>
      <c r="AA350" s="12"/>
      <c r="AB350" s="12"/>
      <c r="AC350" s="12" t="str">
        <f>Table1[[#This Row],[City or Community (San Mateo County)]]</f>
        <v>San Bruno</v>
      </c>
      <c r="AD350" s="12">
        <f>COUNTIF(G:G,Table1[[#This Row],[City or Community (San Mateo County)]])</f>
        <v>13</v>
      </c>
      <c r="AE350" s="12" t="str">
        <f>Table1[[#This Row],[Please select your county]]</f>
        <v>San Mateo County</v>
      </c>
      <c r="AF350" s="41">
        <f>COUNTIF(AE:AE,Table1[[#This Row],[County]])</f>
        <v>124</v>
      </c>
      <c r="AG350" s="12">
        <v>2025</v>
      </c>
    </row>
    <row r="351" spans="1:33" ht="15.5" x14ac:dyDescent="0.35">
      <c r="A351" s="12">
        <v>231</v>
      </c>
      <c r="B351" s="12" t="s">
        <v>150</v>
      </c>
      <c r="C351" s="12"/>
      <c r="D351" s="12"/>
      <c r="E351" s="12"/>
      <c r="F351" s="12"/>
      <c r="G351" s="12" t="s">
        <v>119</v>
      </c>
      <c r="H351" s="12"/>
      <c r="I351" s="12"/>
      <c r="J351" s="12"/>
      <c r="K351" s="10" t="s">
        <v>274</v>
      </c>
      <c r="L351" s="10"/>
      <c r="M351" s="10"/>
      <c r="N351" s="10"/>
      <c r="O351" s="12" t="s">
        <v>38</v>
      </c>
      <c r="P351" s="12">
        <v>400</v>
      </c>
      <c r="Q351" s="12" t="s">
        <v>271</v>
      </c>
      <c r="R351" s="12" t="s">
        <v>68</v>
      </c>
      <c r="S351" s="12" t="s">
        <v>305</v>
      </c>
      <c r="T351" s="12" t="s">
        <v>83</v>
      </c>
      <c r="U351" s="12" t="s">
        <v>160</v>
      </c>
      <c r="V351" s="12"/>
      <c r="W351" s="12"/>
      <c r="X351" s="12"/>
      <c r="Y351" s="12"/>
      <c r="Z351" s="12"/>
      <c r="AA351" s="12"/>
      <c r="AB351" s="12"/>
      <c r="AC351" s="12" t="str">
        <f>Table1[[#This Row],[City or Community (San Mateo County)]]</f>
        <v>San Bruno</v>
      </c>
      <c r="AD351" s="12">
        <f>COUNTIF(G:G,Table1[[#This Row],[City or Community (San Mateo County)]])</f>
        <v>13</v>
      </c>
      <c r="AE351" s="12" t="str">
        <f>Table1[[#This Row],[Please select your county]]</f>
        <v>San Mateo County</v>
      </c>
      <c r="AF351" s="41">
        <f>COUNTIF(AE:AE,Table1[[#This Row],[County]])</f>
        <v>124</v>
      </c>
      <c r="AG351" s="12">
        <v>2025</v>
      </c>
    </row>
    <row r="352" spans="1:33" ht="31" x14ac:dyDescent="0.35">
      <c r="A352" s="12">
        <v>605</v>
      </c>
      <c r="B352" s="12" t="s">
        <v>150</v>
      </c>
      <c r="C352" s="12"/>
      <c r="D352" s="12"/>
      <c r="E352" s="12"/>
      <c r="F352" s="12"/>
      <c r="G352" s="12" t="s">
        <v>119</v>
      </c>
      <c r="H352" s="12"/>
      <c r="I352" s="12"/>
      <c r="J352" s="12"/>
      <c r="K352" s="10" t="s">
        <v>274</v>
      </c>
      <c r="L352" s="10" t="s">
        <v>279</v>
      </c>
      <c r="M352" s="10" t="s">
        <v>269</v>
      </c>
      <c r="N352" s="10" t="s">
        <v>280</v>
      </c>
      <c r="O352" s="12" t="s">
        <v>38</v>
      </c>
      <c r="P352" s="12">
        <v>495</v>
      </c>
      <c r="Q352" s="12" t="s">
        <v>281</v>
      </c>
      <c r="R352" s="12" t="s">
        <v>67</v>
      </c>
      <c r="S352" s="12" t="s">
        <v>276</v>
      </c>
      <c r="T352" s="12" t="s">
        <v>159</v>
      </c>
      <c r="U352" s="12" t="s">
        <v>160</v>
      </c>
      <c r="V352" s="12"/>
      <c r="W352" s="12"/>
      <c r="X352" s="12"/>
      <c r="Y352" s="12"/>
      <c r="Z352" s="12"/>
      <c r="AA352" s="12"/>
      <c r="AB352" s="12"/>
      <c r="AC352" s="12" t="str">
        <f>Table1[[#This Row],[City or Community (San Mateo County)]]</f>
        <v>San Bruno</v>
      </c>
      <c r="AD352" s="12">
        <f>COUNTIF(G:G,Table1[[#This Row],[City or Community (San Mateo County)]])</f>
        <v>13</v>
      </c>
      <c r="AE352" s="12" t="str">
        <f>Table1[[#This Row],[Please select your county]]</f>
        <v>San Mateo County</v>
      </c>
      <c r="AF352" s="41">
        <f>COUNTIF(AE:AE,Table1[[#This Row],[County]])</f>
        <v>124</v>
      </c>
      <c r="AG352" s="12">
        <v>2025</v>
      </c>
    </row>
    <row r="353" spans="1:33" ht="15.5" x14ac:dyDescent="0.35">
      <c r="A353" s="12">
        <v>243</v>
      </c>
      <c r="B353" s="12" t="s">
        <v>150</v>
      </c>
      <c r="C353" s="12"/>
      <c r="D353" s="12"/>
      <c r="E353" s="12"/>
      <c r="F353" s="12"/>
      <c r="G353" s="12" t="s">
        <v>119</v>
      </c>
      <c r="H353" s="12"/>
      <c r="I353" s="12"/>
      <c r="J353" s="12"/>
      <c r="K353" s="10" t="s">
        <v>294</v>
      </c>
      <c r="L353" s="10"/>
      <c r="M353" s="10"/>
      <c r="N353" s="10"/>
      <c r="O353" s="12" t="s">
        <v>38</v>
      </c>
      <c r="P353" s="12">
        <v>500</v>
      </c>
      <c r="Q353" s="12" t="s">
        <v>271</v>
      </c>
      <c r="R353" s="12" t="s">
        <v>79</v>
      </c>
      <c r="S353" s="12" t="s">
        <v>272</v>
      </c>
      <c r="T353" s="12" t="s">
        <v>159</v>
      </c>
      <c r="U353" s="12" t="s">
        <v>160</v>
      </c>
      <c r="V353" s="12"/>
      <c r="W353" s="12"/>
      <c r="X353" s="12"/>
      <c r="Y353" s="12"/>
      <c r="Z353" s="12"/>
      <c r="AA353" s="12"/>
      <c r="AB353" s="12"/>
      <c r="AC353" s="12" t="str">
        <f>Table1[[#This Row],[City or Community (San Mateo County)]]</f>
        <v>San Bruno</v>
      </c>
      <c r="AD353" s="12">
        <f>COUNTIF(G:G,Table1[[#This Row],[City or Community (San Mateo County)]])</f>
        <v>13</v>
      </c>
      <c r="AE353" s="12" t="str">
        <f>Table1[[#This Row],[Please select your county]]</f>
        <v>San Mateo County</v>
      </c>
      <c r="AF353" s="41">
        <f>COUNTIF(AE:AE,Table1[[#This Row],[County]])</f>
        <v>124</v>
      </c>
      <c r="AG353" s="12">
        <v>2025</v>
      </c>
    </row>
    <row r="354" spans="1:33" ht="31" x14ac:dyDescent="0.35">
      <c r="A354" s="12">
        <v>491</v>
      </c>
      <c r="B354" s="12" t="s">
        <v>150</v>
      </c>
      <c r="C354" s="12"/>
      <c r="D354" s="12"/>
      <c r="E354" s="12"/>
      <c r="F354" s="12"/>
      <c r="G354" s="12" t="s">
        <v>119</v>
      </c>
      <c r="H354" s="12"/>
      <c r="I354" s="12"/>
      <c r="J354" s="12"/>
      <c r="K354" s="10" t="s">
        <v>267</v>
      </c>
      <c r="L354" s="10" t="s">
        <v>279</v>
      </c>
      <c r="M354" s="10" t="s">
        <v>269</v>
      </c>
      <c r="N354" s="10" t="s">
        <v>280</v>
      </c>
      <c r="O354" s="12" t="s">
        <v>38</v>
      </c>
      <c r="P354" s="12">
        <v>700</v>
      </c>
      <c r="Q354" s="12" t="s">
        <v>271</v>
      </c>
      <c r="R354" s="12" t="s">
        <v>72</v>
      </c>
      <c r="S354" s="12" t="s">
        <v>276</v>
      </c>
      <c r="T354" s="12" t="s">
        <v>159</v>
      </c>
      <c r="U354" s="12" t="s">
        <v>159</v>
      </c>
      <c r="V354" s="12" t="s">
        <v>164</v>
      </c>
      <c r="W354" s="12" t="s">
        <v>289</v>
      </c>
      <c r="X354" s="12"/>
      <c r="Y354" s="12" t="s">
        <v>290</v>
      </c>
      <c r="Z354" s="12"/>
      <c r="AA354" s="12" t="s">
        <v>291</v>
      </c>
      <c r="AB354" s="12" t="s">
        <v>188</v>
      </c>
      <c r="AC354" s="12" t="str">
        <f>Table1[[#This Row],[City or Community (San Mateo County)]]</f>
        <v>San Bruno</v>
      </c>
      <c r="AD354" s="12">
        <f>COUNTIF(G:G,Table1[[#This Row],[City or Community (San Mateo County)]])</f>
        <v>13</v>
      </c>
      <c r="AE354" s="12" t="str">
        <f>Table1[[#This Row],[Please select your county]]</f>
        <v>San Mateo County</v>
      </c>
      <c r="AF354" s="41">
        <f>COUNTIF(AE:AE,Table1[[#This Row],[County]])</f>
        <v>124</v>
      </c>
      <c r="AG354" s="12">
        <v>2025</v>
      </c>
    </row>
    <row r="355" spans="1:33" ht="31" x14ac:dyDescent="0.35">
      <c r="A355" s="12">
        <v>548</v>
      </c>
      <c r="B355" s="12" t="s">
        <v>150</v>
      </c>
      <c r="C355" s="12"/>
      <c r="D355" s="12"/>
      <c r="E355" s="12"/>
      <c r="F355" s="12"/>
      <c r="G355" s="12" t="s">
        <v>119</v>
      </c>
      <c r="H355" s="12"/>
      <c r="I355" s="12"/>
      <c r="J355" s="12"/>
      <c r="K355" s="10" t="s">
        <v>267</v>
      </c>
      <c r="L355" s="10" t="s">
        <v>279</v>
      </c>
      <c r="M355" s="10" t="s">
        <v>269</v>
      </c>
      <c r="N355" s="10" t="s">
        <v>280</v>
      </c>
      <c r="O355" s="12" t="s">
        <v>38</v>
      </c>
      <c r="P355" s="12">
        <v>750</v>
      </c>
      <c r="Q355" s="12" t="s">
        <v>295</v>
      </c>
      <c r="R355" s="12" t="s">
        <v>71</v>
      </c>
      <c r="S355" s="12" t="s">
        <v>276</v>
      </c>
      <c r="T355" s="12" t="s">
        <v>159</v>
      </c>
      <c r="U355" s="12" t="s">
        <v>160</v>
      </c>
      <c r="V355" s="12"/>
      <c r="W355" s="12"/>
      <c r="X355" s="12"/>
      <c r="Y355" s="12"/>
      <c r="Z355" s="12"/>
      <c r="AA355" s="12"/>
      <c r="AB355" s="12"/>
      <c r="AC355" s="12" t="str">
        <f>Table1[[#This Row],[City or Community (San Mateo County)]]</f>
        <v>San Bruno</v>
      </c>
      <c r="AD355" s="12">
        <f>COUNTIF(G:G,Table1[[#This Row],[City or Community (San Mateo County)]])</f>
        <v>13</v>
      </c>
      <c r="AE355" s="12" t="str">
        <f>Table1[[#This Row],[Please select your county]]</f>
        <v>San Mateo County</v>
      </c>
      <c r="AF355" s="41">
        <f>COUNTIF(AE:AE,Table1[[#This Row],[County]])</f>
        <v>124</v>
      </c>
      <c r="AG355" s="12">
        <v>2025</v>
      </c>
    </row>
    <row r="356" spans="1:33" ht="15.5" x14ac:dyDescent="0.35">
      <c r="A356" s="12">
        <v>307</v>
      </c>
      <c r="B356" s="12" t="s">
        <v>150</v>
      </c>
      <c r="C356" s="12"/>
      <c r="D356" s="12"/>
      <c r="E356" s="12"/>
      <c r="F356" s="12"/>
      <c r="G356" s="12" t="s">
        <v>119</v>
      </c>
      <c r="H356" s="12"/>
      <c r="I356" s="12"/>
      <c r="J356" s="12"/>
      <c r="K356" s="10" t="s">
        <v>274</v>
      </c>
      <c r="L356" s="10"/>
      <c r="M356" s="10"/>
      <c r="N356" s="10"/>
      <c r="O356" s="12" t="s">
        <v>38</v>
      </c>
      <c r="P356" s="12">
        <v>761</v>
      </c>
      <c r="Q356" s="12" t="s">
        <v>295</v>
      </c>
      <c r="R356" s="12" t="s">
        <v>69</v>
      </c>
      <c r="S356" s="12" t="s">
        <v>272</v>
      </c>
      <c r="T356" s="12" t="s">
        <v>83</v>
      </c>
      <c r="U356" s="12" t="s">
        <v>160</v>
      </c>
      <c r="V356" s="12"/>
      <c r="W356" s="12"/>
      <c r="X356" s="12"/>
      <c r="Y356" s="12"/>
      <c r="Z356" s="12"/>
      <c r="AA356" s="12"/>
      <c r="AB356" s="12"/>
      <c r="AC356" s="12" t="str">
        <f>Table1[[#This Row],[City or Community (San Mateo County)]]</f>
        <v>San Bruno</v>
      </c>
      <c r="AD356" s="12">
        <f>COUNTIF(G:G,Table1[[#This Row],[City or Community (San Mateo County)]])</f>
        <v>13</v>
      </c>
      <c r="AE356" s="12" t="str">
        <f>Table1[[#This Row],[Please select your county]]</f>
        <v>San Mateo County</v>
      </c>
      <c r="AF356" s="41">
        <f>COUNTIF(AE:AE,Table1[[#This Row],[County]])</f>
        <v>124</v>
      </c>
      <c r="AG356" s="12">
        <v>2025</v>
      </c>
    </row>
    <row r="357" spans="1:33" ht="31" x14ac:dyDescent="0.35">
      <c r="A357" s="12">
        <v>393</v>
      </c>
      <c r="B357" s="12" t="s">
        <v>150</v>
      </c>
      <c r="C357" s="12"/>
      <c r="D357" s="12"/>
      <c r="E357" s="12"/>
      <c r="F357" s="12"/>
      <c r="G357" s="12" t="s">
        <v>119</v>
      </c>
      <c r="H357" s="12"/>
      <c r="I357" s="12"/>
      <c r="J357" s="12"/>
      <c r="K357" s="10" t="s">
        <v>267</v>
      </c>
      <c r="L357" s="10" t="s">
        <v>279</v>
      </c>
      <c r="M357" s="10" t="s">
        <v>269</v>
      </c>
      <c r="N357" s="10" t="s">
        <v>280</v>
      </c>
      <c r="O357" s="12" t="s">
        <v>38</v>
      </c>
      <c r="P357" s="12">
        <v>784</v>
      </c>
      <c r="Q357" s="12" t="s">
        <v>295</v>
      </c>
      <c r="R357" s="12" t="s">
        <v>69</v>
      </c>
      <c r="S357" s="12" t="s">
        <v>276</v>
      </c>
      <c r="T357" s="12" t="s">
        <v>159</v>
      </c>
      <c r="U357" s="12" t="s">
        <v>160</v>
      </c>
      <c r="V357" s="12"/>
      <c r="W357" s="12"/>
      <c r="X357" s="12"/>
      <c r="Y357" s="12"/>
      <c r="Z357" s="12"/>
      <c r="AA357" s="12"/>
      <c r="AB357" s="12"/>
      <c r="AC357" s="12" t="str">
        <f>Table1[[#This Row],[City or Community (San Mateo County)]]</f>
        <v>San Bruno</v>
      </c>
      <c r="AD357" s="12">
        <f>COUNTIF(G:G,Table1[[#This Row],[City or Community (San Mateo County)]])</f>
        <v>13</v>
      </c>
      <c r="AE357" s="12" t="str">
        <f>Table1[[#This Row],[Please select your county]]</f>
        <v>San Mateo County</v>
      </c>
      <c r="AF357" s="41">
        <f>COUNTIF(AE:AE,Table1[[#This Row],[County]])</f>
        <v>124</v>
      </c>
      <c r="AG357" s="12">
        <v>2025</v>
      </c>
    </row>
    <row r="358" spans="1:33" ht="31" x14ac:dyDescent="0.35">
      <c r="A358" s="12">
        <v>345</v>
      </c>
      <c r="B358" s="12" t="s">
        <v>150</v>
      </c>
      <c r="C358" s="12"/>
      <c r="D358" s="12"/>
      <c r="E358" s="12"/>
      <c r="F358" s="12"/>
      <c r="G358" s="12" t="s">
        <v>119</v>
      </c>
      <c r="H358" s="12"/>
      <c r="I358" s="12"/>
      <c r="J358" s="12"/>
      <c r="K358" s="10" t="s">
        <v>294</v>
      </c>
      <c r="L358" s="10" t="s">
        <v>279</v>
      </c>
      <c r="M358" s="10" t="s">
        <v>303</v>
      </c>
      <c r="N358" s="10" t="s">
        <v>280</v>
      </c>
      <c r="O358" s="12" t="s">
        <v>38</v>
      </c>
      <c r="P358" s="12">
        <v>800</v>
      </c>
      <c r="Q358" s="12" t="s">
        <v>295</v>
      </c>
      <c r="R358" s="12" t="s">
        <v>165</v>
      </c>
      <c r="S358" s="12" t="s">
        <v>276</v>
      </c>
      <c r="T358" s="12" t="s">
        <v>83</v>
      </c>
      <c r="U358" s="12" t="s">
        <v>160</v>
      </c>
      <c r="V358" s="12"/>
      <c r="W358" s="12"/>
      <c r="X358" s="12"/>
      <c r="Y358" s="12"/>
      <c r="Z358" s="12"/>
      <c r="AA358" s="12"/>
      <c r="AB358" s="12"/>
      <c r="AC358" s="12" t="str">
        <f>Table1[[#This Row],[City or Community (San Mateo County)]]</f>
        <v>San Bruno</v>
      </c>
      <c r="AD358" s="12">
        <f>COUNTIF(G:G,Table1[[#This Row],[City or Community (San Mateo County)]])</f>
        <v>13</v>
      </c>
      <c r="AE358" s="12" t="str">
        <f>Table1[[#This Row],[Please select your county]]</f>
        <v>San Mateo County</v>
      </c>
      <c r="AF358" s="41">
        <f>COUNTIF(AE:AE,Table1[[#This Row],[County]])</f>
        <v>124</v>
      </c>
      <c r="AG358" s="12">
        <v>2025</v>
      </c>
    </row>
    <row r="359" spans="1:33" ht="31" x14ac:dyDescent="0.35">
      <c r="A359" s="12">
        <v>455</v>
      </c>
      <c r="B359" s="12" t="s">
        <v>150</v>
      </c>
      <c r="C359" s="12"/>
      <c r="D359" s="12"/>
      <c r="E359" s="12"/>
      <c r="F359" s="12"/>
      <c r="G359" s="12" t="s">
        <v>119</v>
      </c>
      <c r="H359" s="12"/>
      <c r="I359" s="12"/>
      <c r="J359" s="12"/>
      <c r="K359" s="10" t="s">
        <v>267</v>
      </c>
      <c r="L359" s="10" t="s">
        <v>279</v>
      </c>
      <c r="M359" s="10" t="s">
        <v>301</v>
      </c>
      <c r="N359" s="10" t="s">
        <v>280</v>
      </c>
      <c r="O359" s="12" t="s">
        <v>38</v>
      </c>
      <c r="P359" s="12">
        <v>999</v>
      </c>
      <c r="Q359" s="12" t="s">
        <v>295</v>
      </c>
      <c r="R359" s="12" t="s">
        <v>72</v>
      </c>
      <c r="S359" s="12" t="s">
        <v>284</v>
      </c>
      <c r="T359" s="12" t="s">
        <v>159</v>
      </c>
      <c r="U359" s="12" t="s">
        <v>160</v>
      </c>
      <c r="V359" s="12"/>
      <c r="W359" s="12"/>
      <c r="X359" s="12"/>
      <c r="Y359" s="12"/>
      <c r="Z359" s="12"/>
      <c r="AA359" s="12"/>
      <c r="AB359" s="12"/>
      <c r="AC359" s="12" t="str">
        <f>Table1[[#This Row],[City or Community (San Mateo County)]]</f>
        <v>San Bruno</v>
      </c>
      <c r="AD359" s="12">
        <f>COUNTIF(G:G,Table1[[#This Row],[City or Community (San Mateo County)]])</f>
        <v>13</v>
      </c>
      <c r="AE359" s="12" t="str">
        <f>Table1[[#This Row],[Please select your county]]</f>
        <v>San Mateo County</v>
      </c>
      <c r="AF359" s="41">
        <f>COUNTIF(AE:AE,Table1[[#This Row],[County]])</f>
        <v>124</v>
      </c>
      <c r="AG359" s="12">
        <v>2025</v>
      </c>
    </row>
    <row r="360" spans="1:33" ht="15.5" x14ac:dyDescent="0.35">
      <c r="A360" s="12">
        <v>302</v>
      </c>
      <c r="B360" s="12" t="s">
        <v>150</v>
      </c>
      <c r="C360" s="12"/>
      <c r="D360" s="12"/>
      <c r="E360" s="12"/>
      <c r="F360" s="12"/>
      <c r="G360" s="12" t="s">
        <v>119</v>
      </c>
      <c r="H360" s="12"/>
      <c r="I360" s="12"/>
      <c r="J360" s="12"/>
      <c r="K360" s="10" t="s">
        <v>267</v>
      </c>
      <c r="L360" s="10"/>
      <c r="M360" s="10"/>
      <c r="N360" s="10"/>
      <c r="O360" s="12" t="s">
        <v>38</v>
      </c>
      <c r="P360" s="12">
        <v>2349</v>
      </c>
      <c r="Q360" s="12" t="s">
        <v>271</v>
      </c>
      <c r="R360" s="12" t="s">
        <v>69</v>
      </c>
      <c r="S360" s="12" t="s">
        <v>282</v>
      </c>
      <c r="T360" s="12" t="s">
        <v>159</v>
      </c>
      <c r="U360" s="12" t="s">
        <v>160</v>
      </c>
      <c r="V360" s="12"/>
      <c r="W360" s="12"/>
      <c r="X360" s="12"/>
      <c r="Y360" s="12"/>
      <c r="Z360" s="12"/>
      <c r="AA360" s="12"/>
      <c r="AB360" s="12"/>
      <c r="AC360" s="12" t="str">
        <f>Table1[[#This Row],[City or Community (San Mateo County)]]</f>
        <v>San Bruno</v>
      </c>
      <c r="AD360" s="12">
        <f>COUNTIF(G:G,Table1[[#This Row],[City or Community (San Mateo County)]])</f>
        <v>13</v>
      </c>
      <c r="AE360" s="12" t="str">
        <f>Table1[[#This Row],[Please select your county]]</f>
        <v>San Mateo County</v>
      </c>
      <c r="AF360" s="41">
        <f>COUNTIF(AE:AE,Table1[[#This Row],[County]])</f>
        <v>124</v>
      </c>
      <c r="AG360" s="12">
        <v>2025</v>
      </c>
    </row>
    <row r="361" spans="1:33" ht="15.5" x14ac:dyDescent="0.35">
      <c r="A361" s="12">
        <v>303</v>
      </c>
      <c r="B361" s="12" t="s">
        <v>150</v>
      </c>
      <c r="C361" s="12"/>
      <c r="D361" s="12"/>
      <c r="E361" s="12"/>
      <c r="F361" s="12"/>
      <c r="G361" s="12" t="s">
        <v>119</v>
      </c>
      <c r="H361" s="12"/>
      <c r="I361" s="12"/>
      <c r="J361" s="12"/>
      <c r="K361" s="10" t="s">
        <v>267</v>
      </c>
      <c r="L361" s="10"/>
      <c r="M361" s="10"/>
      <c r="N361" s="10"/>
      <c r="O361" s="12" t="s">
        <v>38</v>
      </c>
      <c r="P361" s="12">
        <v>2349</v>
      </c>
      <c r="Q361" s="12" t="s">
        <v>271</v>
      </c>
      <c r="R361" s="12" t="s">
        <v>69</v>
      </c>
      <c r="S361" s="12" t="s">
        <v>282</v>
      </c>
      <c r="T361" s="12" t="s">
        <v>159</v>
      </c>
      <c r="U361" s="12" t="s">
        <v>160</v>
      </c>
      <c r="V361" s="12"/>
      <c r="W361" s="12"/>
      <c r="X361" s="12"/>
      <c r="Y361" s="12"/>
      <c r="Z361" s="12"/>
      <c r="AA361" s="12"/>
      <c r="AB361" s="12"/>
      <c r="AC361" s="12" t="str">
        <f>Table1[[#This Row],[City or Community (San Mateo County)]]</f>
        <v>San Bruno</v>
      </c>
      <c r="AD361" s="12">
        <f>COUNTIF(G:G,Table1[[#This Row],[City or Community (San Mateo County)]])</f>
        <v>13</v>
      </c>
      <c r="AE361" s="12" t="str">
        <f>Table1[[#This Row],[Please select your county]]</f>
        <v>San Mateo County</v>
      </c>
      <c r="AF361" s="41">
        <f>COUNTIF(AE:AE,Table1[[#This Row],[County]])</f>
        <v>124</v>
      </c>
      <c r="AG361" s="12">
        <v>2025</v>
      </c>
    </row>
    <row r="362" spans="1:33" ht="15.5" x14ac:dyDescent="0.35">
      <c r="A362" s="12">
        <v>293</v>
      </c>
      <c r="B362" s="12" t="s">
        <v>150</v>
      </c>
      <c r="C362" s="12"/>
      <c r="D362" s="12"/>
      <c r="E362" s="12"/>
      <c r="F362" s="12"/>
      <c r="G362" s="12" t="s">
        <v>376</v>
      </c>
      <c r="H362" s="12"/>
      <c r="I362" s="12"/>
      <c r="J362" s="12"/>
      <c r="K362" s="10" t="s">
        <v>321</v>
      </c>
      <c r="L362" s="10"/>
      <c r="M362" s="10"/>
      <c r="N362" s="10"/>
      <c r="O362" s="12" t="s">
        <v>38</v>
      </c>
      <c r="P362" s="12">
        <v>750</v>
      </c>
      <c r="Q362" s="12" t="s">
        <v>281</v>
      </c>
      <c r="R362" s="12" t="s">
        <v>70</v>
      </c>
      <c r="S362" s="12" t="s">
        <v>272</v>
      </c>
      <c r="T362" s="12" t="s">
        <v>159</v>
      </c>
      <c r="U362" s="12" t="s">
        <v>159</v>
      </c>
      <c r="V362" s="12" t="s">
        <v>163</v>
      </c>
      <c r="W362" s="12" t="s">
        <v>289</v>
      </c>
      <c r="X362" s="12" t="s">
        <v>377</v>
      </c>
      <c r="Y362" s="12" t="s">
        <v>290</v>
      </c>
      <c r="Z362" s="12" t="s">
        <v>377</v>
      </c>
      <c r="AA362" s="12" t="s">
        <v>291</v>
      </c>
      <c r="AB362" s="12" t="s">
        <v>189</v>
      </c>
      <c r="AC362" s="12" t="str">
        <f>Table1[[#This Row],[City or Community (San Mateo County)]]</f>
        <v>Redwood City</v>
      </c>
      <c r="AD362" s="12">
        <f>COUNTIF(G:G,Table1[[#This Row],[City or Community (San Mateo County)]])</f>
        <v>3</v>
      </c>
      <c r="AE362" s="12" t="str">
        <f>Table1[[#This Row],[Please select your county]]</f>
        <v>San Mateo County</v>
      </c>
      <c r="AF362" s="41">
        <f>COUNTIF(AE:AE,Table1[[#This Row],[County]])</f>
        <v>124</v>
      </c>
      <c r="AG362" s="12">
        <v>2025</v>
      </c>
    </row>
    <row r="363" spans="1:33" ht="15.5" x14ac:dyDescent="0.35">
      <c r="A363" s="12">
        <v>340</v>
      </c>
      <c r="B363" s="12" t="s">
        <v>150</v>
      </c>
      <c r="C363" s="12"/>
      <c r="D363" s="12"/>
      <c r="E363" s="12"/>
      <c r="F363" s="12"/>
      <c r="G363" s="12" t="s">
        <v>376</v>
      </c>
      <c r="H363" s="12"/>
      <c r="I363" s="12"/>
      <c r="J363" s="12"/>
      <c r="K363" s="10" t="s">
        <v>267</v>
      </c>
      <c r="L363" s="10" t="s">
        <v>313</v>
      </c>
      <c r="M363" s="10" t="s">
        <v>301</v>
      </c>
      <c r="N363" s="10" t="s">
        <v>288</v>
      </c>
      <c r="O363" s="12" t="s">
        <v>38</v>
      </c>
      <c r="P363" s="12">
        <v>753</v>
      </c>
      <c r="Q363" s="12" t="s">
        <v>281</v>
      </c>
      <c r="R363" s="12" t="s">
        <v>165</v>
      </c>
      <c r="S363" s="12" t="s">
        <v>284</v>
      </c>
      <c r="T363" s="12" t="s">
        <v>83</v>
      </c>
      <c r="U363" s="12" t="s">
        <v>160</v>
      </c>
      <c r="V363" s="12"/>
      <c r="W363" s="12"/>
      <c r="X363" s="12"/>
      <c r="Y363" s="12"/>
      <c r="Z363" s="12"/>
      <c r="AA363" s="12"/>
      <c r="AB363" s="12"/>
      <c r="AC363" s="12" t="str">
        <f>Table1[[#This Row],[City or Community (San Mateo County)]]</f>
        <v>Redwood City</v>
      </c>
      <c r="AD363" s="12">
        <f>COUNTIF(G:G,Table1[[#This Row],[City or Community (San Mateo County)]])</f>
        <v>3</v>
      </c>
      <c r="AE363" s="12" t="str">
        <f>Table1[[#This Row],[Please select your county]]</f>
        <v>San Mateo County</v>
      </c>
      <c r="AF363" s="41">
        <f>COUNTIF(AE:AE,Table1[[#This Row],[County]])</f>
        <v>124</v>
      </c>
      <c r="AG363" s="12">
        <v>2025</v>
      </c>
    </row>
    <row r="364" spans="1:33" ht="15.5" x14ac:dyDescent="0.35">
      <c r="A364" s="12">
        <v>281</v>
      </c>
      <c r="B364" s="12" t="s">
        <v>150</v>
      </c>
      <c r="C364" s="12"/>
      <c r="D364" s="12"/>
      <c r="E364" s="12"/>
      <c r="F364" s="12"/>
      <c r="G364" s="12" t="s">
        <v>376</v>
      </c>
      <c r="H364" s="12"/>
      <c r="I364" s="12"/>
      <c r="J364" s="12"/>
      <c r="K364" s="10" t="s">
        <v>274</v>
      </c>
      <c r="L364" s="10"/>
      <c r="M364" s="10"/>
      <c r="N364" s="10"/>
      <c r="O364" s="12" t="s">
        <v>38</v>
      </c>
      <c r="P364" s="12">
        <v>900</v>
      </c>
      <c r="Q364" s="12" t="s">
        <v>295</v>
      </c>
      <c r="R364" s="12" t="s">
        <v>79</v>
      </c>
      <c r="S364" s="12" t="s">
        <v>272</v>
      </c>
      <c r="T364" s="12" t="s">
        <v>159</v>
      </c>
      <c r="U364" s="12" t="s">
        <v>160</v>
      </c>
      <c r="V364" s="12"/>
      <c r="W364" s="12"/>
      <c r="X364" s="12"/>
      <c r="Y364" s="12"/>
      <c r="Z364" s="12"/>
      <c r="AA364" s="12"/>
      <c r="AB364" s="12"/>
      <c r="AC364" s="12" t="str">
        <f>Table1[[#This Row],[City or Community (San Mateo County)]]</f>
        <v>Redwood City</v>
      </c>
      <c r="AD364" s="12">
        <f>COUNTIF(G:G,Table1[[#This Row],[City or Community (San Mateo County)]])</f>
        <v>3</v>
      </c>
      <c r="AE364" s="12" t="str">
        <f>Table1[[#This Row],[Please select your county]]</f>
        <v>San Mateo County</v>
      </c>
      <c r="AF364" s="41">
        <f>COUNTIF(AE:AE,Table1[[#This Row],[County]])</f>
        <v>124</v>
      </c>
      <c r="AG364" s="12">
        <v>2025</v>
      </c>
    </row>
    <row r="365" spans="1:33" ht="31" x14ac:dyDescent="0.35">
      <c r="A365" s="12">
        <v>341</v>
      </c>
      <c r="B365" s="12" t="s">
        <v>150</v>
      </c>
      <c r="C365" s="12"/>
      <c r="D365" s="12"/>
      <c r="E365" s="12"/>
      <c r="F365" s="12"/>
      <c r="G365" s="12" t="s">
        <v>378</v>
      </c>
      <c r="H365" s="12"/>
      <c r="I365" s="12"/>
      <c r="J365" s="12"/>
      <c r="K365" s="10" t="s">
        <v>267</v>
      </c>
      <c r="L365" s="10" t="s">
        <v>277</v>
      </c>
      <c r="M365" s="10" t="s">
        <v>269</v>
      </c>
      <c r="N365" s="10" t="s">
        <v>278</v>
      </c>
      <c r="O365" s="12" t="s">
        <v>38</v>
      </c>
      <c r="P365" s="12">
        <v>700</v>
      </c>
      <c r="Q365" s="12" t="s">
        <v>281</v>
      </c>
      <c r="R365" s="12" t="s">
        <v>73</v>
      </c>
      <c r="S365" s="12" t="s">
        <v>272</v>
      </c>
      <c r="T365" s="12" t="s">
        <v>83</v>
      </c>
      <c r="U365" s="12" t="s">
        <v>159</v>
      </c>
      <c r="V365" s="12" t="s">
        <v>163</v>
      </c>
      <c r="W365" s="12" t="s">
        <v>289</v>
      </c>
      <c r="X365" s="12"/>
      <c r="Y365" s="12" t="s">
        <v>290</v>
      </c>
      <c r="Z365" s="12"/>
      <c r="AA365" s="12" t="s">
        <v>300</v>
      </c>
      <c r="AB365" s="12" t="s">
        <v>190</v>
      </c>
      <c r="AC365" s="12" t="str">
        <f>Table1[[#This Row],[City or Community (San Mateo County)]]</f>
        <v>San Carlos</v>
      </c>
      <c r="AD365" s="12">
        <f>COUNTIF(G:G,Table1[[#This Row],[City or Community (San Mateo County)]])</f>
        <v>1</v>
      </c>
      <c r="AE365" s="12" t="str">
        <f>Table1[[#This Row],[Please select your county]]</f>
        <v>San Mateo County</v>
      </c>
      <c r="AF365" s="41">
        <f>COUNTIF(AE:AE,Table1[[#This Row],[County]])</f>
        <v>124</v>
      </c>
      <c r="AG365" s="12">
        <v>2025</v>
      </c>
    </row>
    <row r="366" spans="1:33" ht="31" x14ac:dyDescent="0.35">
      <c r="A366" s="12">
        <v>375</v>
      </c>
      <c r="B366" s="12" t="s">
        <v>150</v>
      </c>
      <c r="C366" s="12"/>
      <c r="D366" s="12"/>
      <c r="E366" s="12"/>
      <c r="F366" s="12"/>
      <c r="G366" s="12" t="s">
        <v>379</v>
      </c>
      <c r="H366" s="12"/>
      <c r="I366" s="12"/>
      <c r="J366" s="12"/>
      <c r="K366" s="10" t="s">
        <v>274</v>
      </c>
      <c r="L366" s="10" t="s">
        <v>313</v>
      </c>
      <c r="M366" s="10" t="s">
        <v>269</v>
      </c>
      <c r="N366" s="10" t="s">
        <v>280</v>
      </c>
      <c r="O366" s="12" t="s">
        <v>38</v>
      </c>
      <c r="P366" s="12">
        <v>800</v>
      </c>
      <c r="Q366" s="12" t="s">
        <v>295</v>
      </c>
      <c r="R366" s="12" t="s">
        <v>68</v>
      </c>
      <c r="S366" s="12" t="s">
        <v>365</v>
      </c>
      <c r="T366" s="12" t="s">
        <v>159</v>
      </c>
      <c r="U366" s="12" t="s">
        <v>159</v>
      </c>
      <c r="V366" s="12" t="s">
        <v>164</v>
      </c>
      <c r="W366" s="12" t="s">
        <v>299</v>
      </c>
      <c r="X366" s="12"/>
      <c r="Y366" s="12" t="s">
        <v>290</v>
      </c>
      <c r="Z366" s="12"/>
      <c r="AA366" s="12" t="s">
        <v>291</v>
      </c>
      <c r="AB366" s="12" t="s">
        <v>189</v>
      </c>
      <c r="AC366" s="12" t="str">
        <f>Table1[[#This Row],[City or Community (San Mateo County)]]</f>
        <v>Colma</v>
      </c>
      <c r="AD366" s="12">
        <f>COUNTIF(G:G,Table1[[#This Row],[City or Community (San Mateo County)]])</f>
        <v>1</v>
      </c>
      <c r="AE366" s="12" t="str">
        <f>Table1[[#This Row],[Please select your county]]</f>
        <v>San Mateo County</v>
      </c>
      <c r="AF366" s="41">
        <f>COUNTIF(AE:AE,Table1[[#This Row],[County]])</f>
        <v>124</v>
      </c>
      <c r="AG366" s="12">
        <v>2025</v>
      </c>
    </row>
    <row r="367" spans="1:33" ht="15.5" x14ac:dyDescent="0.35">
      <c r="A367" s="12">
        <v>639</v>
      </c>
      <c r="B367" s="12" t="s">
        <v>151</v>
      </c>
      <c r="C367" s="12"/>
      <c r="D367" s="12"/>
      <c r="E367" s="12"/>
      <c r="F367" s="12"/>
      <c r="G367" s="12"/>
      <c r="H367" s="12" t="s">
        <v>380</v>
      </c>
      <c r="I367" s="12"/>
      <c r="J367" s="12"/>
      <c r="K367" s="10" t="s">
        <v>29</v>
      </c>
      <c r="L367" s="10" t="s">
        <v>381</v>
      </c>
      <c r="M367" s="10" t="s">
        <v>160</v>
      </c>
      <c r="N367" s="10"/>
      <c r="O367" s="12" t="s">
        <v>38</v>
      </c>
      <c r="P367" s="41">
        <v>0</v>
      </c>
      <c r="Q367" s="12" t="s">
        <v>281</v>
      </c>
      <c r="R367" s="12" t="s">
        <v>79</v>
      </c>
      <c r="S367" s="12" t="s">
        <v>382</v>
      </c>
      <c r="T367" s="12"/>
      <c r="U367" s="12"/>
      <c r="V367" s="12"/>
      <c r="W367" s="12"/>
      <c r="X367" s="12"/>
      <c r="Y367" s="12"/>
      <c r="Z367" s="12"/>
      <c r="AA367" s="12"/>
      <c r="AB367" s="12"/>
      <c r="AC367" s="12" t="str">
        <f>Table1[[#This Row],[City or Community (Santa Clara County)]]</f>
        <v>San Jose</v>
      </c>
      <c r="AD367" s="12">
        <f>COUNTIF(H:H,Table1[[#This Row],[City or Community (Santa Clara County)]])</f>
        <v>91</v>
      </c>
      <c r="AE367" s="12" t="str">
        <f>Table1[[#This Row],[Please select your county]]</f>
        <v>Santa Clara County</v>
      </c>
      <c r="AF367" s="41">
        <f>COUNTIF(AE:AE,Table1[[#This Row],[County]])</f>
        <v>192</v>
      </c>
      <c r="AG367" s="12">
        <v>2025</v>
      </c>
    </row>
    <row r="368" spans="1:33" ht="15.5" x14ac:dyDescent="0.35">
      <c r="A368" s="12">
        <v>686</v>
      </c>
      <c r="B368" s="12" t="s">
        <v>151</v>
      </c>
      <c r="C368" s="12"/>
      <c r="D368" s="12"/>
      <c r="E368" s="12"/>
      <c r="F368" s="12"/>
      <c r="G368" s="12"/>
      <c r="H368" s="12" t="s">
        <v>380</v>
      </c>
      <c r="I368" s="12"/>
      <c r="J368" s="12"/>
      <c r="K368" s="10" t="s">
        <v>29</v>
      </c>
      <c r="L368" s="10" t="s">
        <v>383</v>
      </c>
      <c r="M368" s="10" t="s">
        <v>382</v>
      </c>
      <c r="N368" s="10"/>
      <c r="O368" s="12" t="s">
        <v>38</v>
      </c>
      <c r="P368" s="41">
        <v>245</v>
      </c>
      <c r="Q368" s="12" t="s">
        <v>271</v>
      </c>
      <c r="R368" s="12" t="s">
        <v>67</v>
      </c>
      <c r="S368" s="12" t="s">
        <v>382</v>
      </c>
      <c r="T368" s="12"/>
      <c r="U368" s="12"/>
      <c r="V368" s="12"/>
      <c r="W368" s="12"/>
      <c r="X368" s="12"/>
      <c r="Y368" s="12"/>
      <c r="Z368" s="12"/>
      <c r="AA368" s="12"/>
      <c r="AB368" s="12"/>
      <c r="AC368" s="12" t="str">
        <f>Table1[[#This Row],[City or Community (Santa Clara County)]]</f>
        <v>San Jose</v>
      </c>
      <c r="AD368" s="12">
        <f>COUNTIF(H:H,Table1[[#This Row],[City or Community (Santa Clara County)]])</f>
        <v>91</v>
      </c>
      <c r="AE368" s="12" t="str">
        <f>Table1[[#This Row],[Please select your county]]</f>
        <v>Santa Clara County</v>
      </c>
      <c r="AF368" s="41">
        <f>COUNTIF(AE:AE,Table1[[#This Row],[County]])</f>
        <v>192</v>
      </c>
      <c r="AG368" s="12">
        <v>2025</v>
      </c>
    </row>
    <row r="369" spans="1:33" ht="15.5" x14ac:dyDescent="0.35">
      <c r="A369" s="12">
        <v>623</v>
      </c>
      <c r="B369" s="12" t="s">
        <v>151</v>
      </c>
      <c r="C369" s="12"/>
      <c r="D369" s="12"/>
      <c r="E369" s="12"/>
      <c r="F369" s="12"/>
      <c r="G369" s="12"/>
      <c r="H369" s="12" t="s">
        <v>380</v>
      </c>
      <c r="I369" s="12"/>
      <c r="J369" s="12"/>
      <c r="K369" s="10" t="s">
        <v>29</v>
      </c>
      <c r="L369" s="10" t="s">
        <v>384</v>
      </c>
      <c r="M369" s="10" t="s">
        <v>160</v>
      </c>
      <c r="N369" s="10"/>
      <c r="O369" s="12" t="s">
        <v>38</v>
      </c>
      <c r="P369" s="41">
        <v>300</v>
      </c>
      <c r="Q369" s="12" t="s">
        <v>281</v>
      </c>
      <c r="R369" s="12" t="s">
        <v>79</v>
      </c>
      <c r="S369" s="12" t="s">
        <v>385</v>
      </c>
      <c r="T369" s="12"/>
      <c r="U369" s="12"/>
      <c r="V369" s="12"/>
      <c r="W369" s="12"/>
      <c r="X369" s="12"/>
      <c r="Y369" s="12"/>
      <c r="Z369" s="12"/>
      <c r="AA369" s="12"/>
      <c r="AB369" s="12"/>
      <c r="AC369" s="12" t="str">
        <f>Table1[[#This Row],[City or Community (Santa Clara County)]]</f>
        <v>San Jose</v>
      </c>
      <c r="AD369" s="12">
        <f>COUNTIF(H:H,Table1[[#This Row],[City or Community (Santa Clara County)]])</f>
        <v>91</v>
      </c>
      <c r="AE369" s="12" t="str">
        <f>Table1[[#This Row],[Please select your county]]</f>
        <v>Santa Clara County</v>
      </c>
      <c r="AF369" s="41">
        <f>COUNTIF(AE:AE,Table1[[#This Row],[County]])</f>
        <v>192</v>
      </c>
      <c r="AG369" s="12">
        <v>2025</v>
      </c>
    </row>
    <row r="370" spans="1:33" ht="15.5" x14ac:dyDescent="0.35">
      <c r="A370" s="12">
        <v>669</v>
      </c>
      <c r="B370" s="12" t="s">
        <v>151</v>
      </c>
      <c r="C370" s="12"/>
      <c r="D370" s="12"/>
      <c r="E370" s="12"/>
      <c r="F370" s="12"/>
      <c r="G370" s="12"/>
      <c r="H370" s="12" t="s">
        <v>380</v>
      </c>
      <c r="I370" s="12"/>
      <c r="J370" s="12"/>
      <c r="K370" s="10" t="s">
        <v>29</v>
      </c>
      <c r="L370" s="10" t="s">
        <v>384</v>
      </c>
      <c r="M370" s="10" t="s">
        <v>160</v>
      </c>
      <c r="N370" s="10"/>
      <c r="O370" s="12" t="s">
        <v>38</v>
      </c>
      <c r="P370" s="41">
        <v>333</v>
      </c>
      <c r="Q370" s="12" t="s">
        <v>271</v>
      </c>
      <c r="R370" s="12" t="s">
        <v>79</v>
      </c>
      <c r="S370" s="12" t="s">
        <v>382</v>
      </c>
      <c r="T370" s="12"/>
      <c r="U370" s="12"/>
      <c r="V370" s="12"/>
      <c r="W370" s="12"/>
      <c r="X370" s="12"/>
      <c r="Y370" s="12"/>
      <c r="Z370" s="12"/>
      <c r="AA370" s="12"/>
      <c r="AB370" s="12"/>
      <c r="AC370" s="12" t="str">
        <f>Table1[[#This Row],[City or Community (Santa Clara County)]]</f>
        <v>San Jose</v>
      </c>
      <c r="AD370" s="12">
        <f>COUNTIF(H:H,Table1[[#This Row],[City or Community (Santa Clara County)]])</f>
        <v>91</v>
      </c>
      <c r="AE370" s="12" t="str">
        <f>Table1[[#This Row],[Please select your county]]</f>
        <v>Santa Clara County</v>
      </c>
      <c r="AF370" s="41">
        <f>COUNTIF(AE:AE,Table1[[#This Row],[County]])</f>
        <v>192</v>
      </c>
      <c r="AG370" s="12">
        <v>2025</v>
      </c>
    </row>
    <row r="371" spans="1:33" ht="15.5" x14ac:dyDescent="0.35">
      <c r="A371" s="12">
        <v>619</v>
      </c>
      <c r="B371" s="12" t="s">
        <v>151</v>
      </c>
      <c r="C371" s="12"/>
      <c r="D371" s="12"/>
      <c r="E371" s="12"/>
      <c r="F371" s="12"/>
      <c r="G371" s="12"/>
      <c r="H371" s="12" t="s">
        <v>380</v>
      </c>
      <c r="I371" s="12"/>
      <c r="J371" s="12"/>
      <c r="K371" s="10" t="s">
        <v>386</v>
      </c>
      <c r="L371" s="10" t="s">
        <v>268</v>
      </c>
      <c r="M371" s="10" t="s">
        <v>382</v>
      </c>
      <c r="N371" s="10"/>
      <c r="O371" s="12" t="s">
        <v>38</v>
      </c>
      <c r="P371" s="41">
        <v>357</v>
      </c>
      <c r="Q371" s="12" t="s">
        <v>281</v>
      </c>
      <c r="R371" t="s">
        <v>68</v>
      </c>
      <c r="S371" s="12" t="s">
        <v>382</v>
      </c>
      <c r="T371" s="12"/>
      <c r="U371" s="12"/>
      <c r="V371" s="12"/>
      <c r="W371" s="12"/>
      <c r="X371" s="12"/>
      <c r="Y371" s="12"/>
      <c r="Z371" s="12"/>
      <c r="AA371" s="12"/>
      <c r="AB371" s="12"/>
      <c r="AC371" s="12" t="str">
        <f>Table1[[#This Row],[City or Community (Santa Clara County)]]</f>
        <v>San Jose</v>
      </c>
      <c r="AD371" s="12">
        <f>COUNTIF(H:H,Table1[[#This Row],[City or Community (Santa Clara County)]])</f>
        <v>91</v>
      </c>
      <c r="AE371" s="12" t="str">
        <f>Table1[[#This Row],[Please select your county]]</f>
        <v>Santa Clara County</v>
      </c>
      <c r="AF371" s="41">
        <f>COUNTIF(AE:AE,Table1[[#This Row],[County]])</f>
        <v>192</v>
      </c>
      <c r="AG371" s="12">
        <v>2025</v>
      </c>
    </row>
    <row r="372" spans="1:33" ht="15.5" x14ac:dyDescent="0.35">
      <c r="A372" s="12">
        <v>643</v>
      </c>
      <c r="B372" s="12" t="s">
        <v>151</v>
      </c>
      <c r="C372" s="12"/>
      <c r="D372" s="12"/>
      <c r="E372" s="12"/>
      <c r="F372" s="12"/>
      <c r="G372" s="12"/>
      <c r="H372" s="12" t="s">
        <v>380</v>
      </c>
      <c r="I372" s="12"/>
      <c r="J372" s="12"/>
      <c r="K372" s="10" t="s">
        <v>29</v>
      </c>
      <c r="L372" s="10" t="s">
        <v>384</v>
      </c>
      <c r="M372" s="10" t="s">
        <v>160</v>
      </c>
      <c r="N372" s="10"/>
      <c r="O372" s="12" t="s">
        <v>38</v>
      </c>
      <c r="P372" s="41">
        <v>360</v>
      </c>
      <c r="Q372" s="12" t="s">
        <v>281</v>
      </c>
      <c r="R372" s="12" t="s">
        <v>79</v>
      </c>
      <c r="S372" s="12" t="s">
        <v>382</v>
      </c>
      <c r="T372" s="12"/>
      <c r="U372" s="12"/>
      <c r="V372" s="12"/>
      <c r="W372" s="12"/>
      <c r="X372" s="12"/>
      <c r="Y372" s="12"/>
      <c r="Z372" s="12"/>
      <c r="AA372" s="12"/>
      <c r="AB372" s="12"/>
      <c r="AC372" s="12" t="str">
        <f>Table1[[#This Row],[City or Community (Santa Clara County)]]</f>
        <v>San Jose</v>
      </c>
      <c r="AD372" s="12">
        <f>COUNTIF(H:H,Table1[[#This Row],[City or Community (Santa Clara County)]])</f>
        <v>91</v>
      </c>
      <c r="AE372" s="12" t="str">
        <f>Table1[[#This Row],[Please select your county]]</f>
        <v>Santa Clara County</v>
      </c>
      <c r="AF372" s="41">
        <f>COUNTIF(AE:AE,Table1[[#This Row],[County]])</f>
        <v>192</v>
      </c>
      <c r="AG372" s="12">
        <v>2025</v>
      </c>
    </row>
    <row r="373" spans="1:33" ht="15.5" x14ac:dyDescent="0.35">
      <c r="A373" s="12">
        <v>633</v>
      </c>
      <c r="B373" s="12" t="s">
        <v>151</v>
      </c>
      <c r="C373" s="12"/>
      <c r="D373" s="12"/>
      <c r="E373" s="12"/>
      <c r="F373" s="12"/>
      <c r="G373" s="12"/>
      <c r="H373" s="12" t="s">
        <v>380</v>
      </c>
      <c r="I373" s="12"/>
      <c r="J373" s="12"/>
      <c r="K373" s="10" t="s">
        <v>29</v>
      </c>
      <c r="L373" s="10" t="s">
        <v>384</v>
      </c>
      <c r="M373" s="10" t="s">
        <v>160</v>
      </c>
      <c r="N373" s="10"/>
      <c r="O373" s="12" t="s">
        <v>38</v>
      </c>
      <c r="P373" s="41">
        <v>360</v>
      </c>
      <c r="Q373" s="12" t="s">
        <v>271</v>
      </c>
      <c r="R373" s="12" t="s">
        <v>79</v>
      </c>
      <c r="S373" s="12" t="s">
        <v>382</v>
      </c>
      <c r="T373" s="12"/>
      <c r="U373" s="12"/>
      <c r="V373" s="12"/>
      <c r="W373" s="12"/>
      <c r="X373" s="12"/>
      <c r="Y373" s="12"/>
      <c r="Z373" s="12"/>
      <c r="AA373" s="12"/>
      <c r="AB373" s="12"/>
      <c r="AC373" s="12" t="str">
        <f>Table1[[#This Row],[City or Community (Santa Clara County)]]</f>
        <v>San Jose</v>
      </c>
      <c r="AD373" s="12">
        <f>COUNTIF(H:H,Table1[[#This Row],[City or Community (Santa Clara County)]])</f>
        <v>91</v>
      </c>
      <c r="AE373" s="12" t="str">
        <f>Table1[[#This Row],[Please select your county]]</f>
        <v>Santa Clara County</v>
      </c>
      <c r="AF373" s="41">
        <f>COUNTIF(AE:AE,Table1[[#This Row],[County]])</f>
        <v>192</v>
      </c>
      <c r="AG373" s="12">
        <v>2025</v>
      </c>
    </row>
    <row r="374" spans="1:33" ht="15.5" x14ac:dyDescent="0.35">
      <c r="A374" s="12">
        <v>677</v>
      </c>
      <c r="B374" s="12" t="s">
        <v>151</v>
      </c>
      <c r="C374" s="12"/>
      <c r="D374" s="12"/>
      <c r="E374" s="12"/>
      <c r="F374" s="12"/>
      <c r="G374" s="12"/>
      <c r="H374" s="12" t="s">
        <v>380</v>
      </c>
      <c r="I374" s="12"/>
      <c r="J374" s="12"/>
      <c r="K374" s="10" t="s">
        <v>386</v>
      </c>
      <c r="L374" s="10" t="s">
        <v>384</v>
      </c>
      <c r="M374" s="10" t="s">
        <v>160</v>
      </c>
      <c r="N374" s="10"/>
      <c r="O374" s="12" t="s">
        <v>38</v>
      </c>
      <c r="P374" s="41">
        <v>360</v>
      </c>
      <c r="Q374" s="12" t="s">
        <v>271</v>
      </c>
      <c r="R374" t="s">
        <v>69</v>
      </c>
      <c r="S374" s="12" t="s">
        <v>387</v>
      </c>
      <c r="T374" s="12"/>
      <c r="U374" s="12"/>
      <c r="V374" s="12"/>
      <c r="W374" s="12"/>
      <c r="X374" s="12"/>
      <c r="Y374" s="12"/>
      <c r="Z374" s="12"/>
      <c r="AA374" s="12"/>
      <c r="AB374" s="12"/>
      <c r="AC374" s="12" t="str">
        <f>Table1[[#This Row],[City or Community (Santa Clara County)]]</f>
        <v>San Jose</v>
      </c>
      <c r="AD374" s="12">
        <f>COUNTIF(H:H,Table1[[#This Row],[City or Community (Santa Clara County)]])</f>
        <v>91</v>
      </c>
      <c r="AE374" s="12" t="str">
        <f>Table1[[#This Row],[Please select your county]]</f>
        <v>Santa Clara County</v>
      </c>
      <c r="AF374" s="41">
        <f>COUNTIF(AE:AE,Table1[[#This Row],[County]])</f>
        <v>192</v>
      </c>
      <c r="AG374" s="12">
        <v>2025</v>
      </c>
    </row>
    <row r="375" spans="1:33" ht="15.5" x14ac:dyDescent="0.35">
      <c r="A375" s="12">
        <v>678</v>
      </c>
      <c r="B375" s="12" t="s">
        <v>151</v>
      </c>
      <c r="C375" s="12"/>
      <c r="D375" s="12"/>
      <c r="E375" s="12"/>
      <c r="F375" s="12"/>
      <c r="G375" s="12"/>
      <c r="H375" s="12" t="s">
        <v>380</v>
      </c>
      <c r="I375" s="12"/>
      <c r="J375" s="12"/>
      <c r="K375" s="10" t="s">
        <v>29</v>
      </c>
      <c r="L375" s="10" t="s">
        <v>384</v>
      </c>
      <c r="M375" s="10" t="s">
        <v>160</v>
      </c>
      <c r="N375" s="10"/>
      <c r="O375" s="12" t="s">
        <v>38</v>
      </c>
      <c r="P375" s="41">
        <v>375</v>
      </c>
      <c r="Q375" s="12" t="s">
        <v>281</v>
      </c>
      <c r="R375" s="12" t="s">
        <v>79</v>
      </c>
      <c r="S375" s="12" t="s">
        <v>382</v>
      </c>
      <c r="T375" s="12"/>
      <c r="U375" s="12"/>
      <c r="V375" s="12"/>
      <c r="W375" s="12"/>
      <c r="X375" s="12"/>
      <c r="Y375" s="12"/>
      <c r="Z375" s="12"/>
      <c r="AA375" s="12"/>
      <c r="AB375" s="12"/>
      <c r="AC375" s="12" t="str">
        <f>Table1[[#This Row],[City or Community (Santa Clara County)]]</f>
        <v>San Jose</v>
      </c>
      <c r="AD375" s="12">
        <f>COUNTIF(H:H,Table1[[#This Row],[City or Community (Santa Clara County)]])</f>
        <v>91</v>
      </c>
      <c r="AE375" s="12" t="str">
        <f>Table1[[#This Row],[Please select your county]]</f>
        <v>Santa Clara County</v>
      </c>
      <c r="AF375" s="41">
        <f>COUNTIF(AE:AE,Table1[[#This Row],[County]])</f>
        <v>192</v>
      </c>
      <c r="AG375" s="12">
        <v>2025</v>
      </c>
    </row>
    <row r="376" spans="1:33" ht="15.5" x14ac:dyDescent="0.35">
      <c r="A376" s="12">
        <v>629</v>
      </c>
      <c r="B376" s="12" t="s">
        <v>151</v>
      </c>
      <c r="C376" s="12"/>
      <c r="D376" s="12"/>
      <c r="E376" s="12"/>
      <c r="F376" s="12"/>
      <c r="G376" s="12"/>
      <c r="H376" s="12" t="s">
        <v>380</v>
      </c>
      <c r="I376" s="12"/>
      <c r="J376" s="12"/>
      <c r="K376" s="10" t="s">
        <v>29</v>
      </c>
      <c r="L376" s="10" t="s">
        <v>388</v>
      </c>
      <c r="M376" s="10" t="s">
        <v>382</v>
      </c>
      <c r="N376" s="10"/>
      <c r="O376" s="12" t="s">
        <v>38</v>
      </c>
      <c r="P376" s="41">
        <v>394</v>
      </c>
      <c r="Q376" s="12" t="s">
        <v>281</v>
      </c>
      <c r="R376" s="12" t="s">
        <v>79</v>
      </c>
      <c r="S376" s="12" t="s">
        <v>382</v>
      </c>
      <c r="T376" s="12"/>
      <c r="U376" s="12"/>
      <c r="V376" s="12"/>
      <c r="W376" s="12"/>
      <c r="X376" s="12"/>
      <c r="Y376" s="12"/>
      <c r="Z376" s="12"/>
      <c r="AA376" s="12"/>
      <c r="AB376" s="12"/>
      <c r="AC376" s="12" t="str">
        <f>Table1[[#This Row],[City or Community (Santa Clara County)]]</f>
        <v>San Jose</v>
      </c>
      <c r="AD376" s="12">
        <f>COUNTIF(H:H,Table1[[#This Row],[City or Community (Santa Clara County)]])</f>
        <v>91</v>
      </c>
      <c r="AE376" s="12" t="str">
        <f>Table1[[#This Row],[Please select your county]]</f>
        <v>Santa Clara County</v>
      </c>
      <c r="AF376" s="41">
        <f>COUNTIF(AE:AE,Table1[[#This Row],[County]])</f>
        <v>192</v>
      </c>
      <c r="AG376" s="12">
        <v>2025</v>
      </c>
    </row>
    <row r="377" spans="1:33" ht="15.5" x14ac:dyDescent="0.35">
      <c r="A377" s="12">
        <v>685</v>
      </c>
      <c r="B377" s="12" t="s">
        <v>151</v>
      </c>
      <c r="C377" s="12"/>
      <c r="D377" s="12"/>
      <c r="E377" s="12"/>
      <c r="F377" s="12"/>
      <c r="G377" s="12"/>
      <c r="H377" s="12" t="s">
        <v>380</v>
      </c>
      <c r="I377" s="12"/>
      <c r="J377" s="12"/>
      <c r="K377" s="10" t="s">
        <v>29</v>
      </c>
      <c r="L377" s="10" t="s">
        <v>268</v>
      </c>
      <c r="M377" s="10" t="s">
        <v>382</v>
      </c>
      <c r="N377" s="10"/>
      <c r="O377" s="12" t="s">
        <v>38</v>
      </c>
      <c r="P377" s="41">
        <v>397</v>
      </c>
      <c r="Q377" s="12" t="s">
        <v>281</v>
      </c>
      <c r="R377" s="12" t="s">
        <v>79</v>
      </c>
      <c r="S377" s="12" t="s">
        <v>382</v>
      </c>
      <c r="T377" s="12"/>
      <c r="U377" s="12"/>
      <c r="V377" s="12"/>
      <c r="W377" s="12"/>
      <c r="X377" s="12"/>
      <c r="Y377" s="12"/>
      <c r="Z377" s="12"/>
      <c r="AA377" s="12"/>
      <c r="AB377" s="12"/>
      <c r="AC377" s="12" t="str">
        <f>Table1[[#This Row],[City or Community (Santa Clara County)]]</f>
        <v>San Jose</v>
      </c>
      <c r="AD377" s="12">
        <f>COUNTIF(H:H,Table1[[#This Row],[City or Community (Santa Clara County)]])</f>
        <v>91</v>
      </c>
      <c r="AE377" s="12" t="str">
        <f>Table1[[#This Row],[Please select your county]]</f>
        <v>Santa Clara County</v>
      </c>
      <c r="AF377" s="41">
        <f>COUNTIF(AE:AE,Table1[[#This Row],[County]])</f>
        <v>192</v>
      </c>
      <c r="AG377" s="12">
        <v>2025</v>
      </c>
    </row>
    <row r="378" spans="1:33" ht="15.5" x14ac:dyDescent="0.35">
      <c r="A378" s="12">
        <v>692</v>
      </c>
      <c r="B378" s="12" t="s">
        <v>151</v>
      </c>
      <c r="C378" s="12"/>
      <c r="D378" s="12"/>
      <c r="E378" s="12"/>
      <c r="F378" s="12"/>
      <c r="G378" s="12"/>
      <c r="H378" s="12" t="s">
        <v>380</v>
      </c>
      <c r="I378" s="12"/>
      <c r="J378" s="12"/>
      <c r="K378" s="10" t="s">
        <v>29</v>
      </c>
      <c r="L378" s="10" t="s">
        <v>381</v>
      </c>
      <c r="M378" s="10" t="s">
        <v>160</v>
      </c>
      <c r="N378" s="10"/>
      <c r="O378" s="12" t="s">
        <v>38</v>
      </c>
      <c r="P378" s="41">
        <v>399</v>
      </c>
      <c r="Q378" s="12" t="s">
        <v>281</v>
      </c>
      <c r="R378" s="12" t="s">
        <v>79</v>
      </c>
      <c r="S378" s="12" t="s">
        <v>389</v>
      </c>
      <c r="T378" s="12"/>
      <c r="U378" s="12"/>
      <c r="V378" s="12"/>
      <c r="W378" s="12"/>
      <c r="X378" s="12"/>
      <c r="Y378" s="12"/>
      <c r="Z378" s="12"/>
      <c r="AA378" s="12"/>
      <c r="AB378" s="12"/>
      <c r="AC378" s="12" t="str">
        <f>Table1[[#This Row],[City or Community (Santa Clara County)]]</f>
        <v>San Jose</v>
      </c>
      <c r="AD378" s="12">
        <f>COUNTIF(H:H,Table1[[#This Row],[City or Community (Santa Clara County)]])</f>
        <v>91</v>
      </c>
      <c r="AE378" s="12" t="str">
        <f>Table1[[#This Row],[Please select your county]]</f>
        <v>Santa Clara County</v>
      </c>
      <c r="AF378" s="41">
        <f>COUNTIF(AE:AE,Table1[[#This Row],[County]])</f>
        <v>192</v>
      </c>
      <c r="AG378" s="12">
        <v>2025</v>
      </c>
    </row>
    <row r="379" spans="1:33" ht="15.5" x14ac:dyDescent="0.35">
      <c r="A379" s="12">
        <v>641</v>
      </c>
      <c r="B379" s="12" t="s">
        <v>151</v>
      </c>
      <c r="C379" s="12"/>
      <c r="D379" s="12"/>
      <c r="E379" s="12"/>
      <c r="F379" s="12"/>
      <c r="G379" s="12"/>
      <c r="H379" s="12" t="s">
        <v>380</v>
      </c>
      <c r="I379" s="12"/>
      <c r="J379" s="12"/>
      <c r="K379" s="10" t="s">
        <v>29</v>
      </c>
      <c r="L379" s="10" t="s">
        <v>381</v>
      </c>
      <c r="M379" s="10" t="s">
        <v>382</v>
      </c>
      <c r="N379" s="10"/>
      <c r="O379" s="12" t="s">
        <v>38</v>
      </c>
      <c r="P379" s="41">
        <v>400</v>
      </c>
      <c r="Q379" s="12" t="s">
        <v>281</v>
      </c>
      <c r="R379" s="12" t="s">
        <v>79</v>
      </c>
      <c r="S379" s="12" t="s">
        <v>382</v>
      </c>
      <c r="T379" s="12"/>
      <c r="U379" s="12"/>
      <c r="V379" s="12"/>
      <c r="W379" s="12"/>
      <c r="X379" s="12"/>
      <c r="Y379" s="12"/>
      <c r="Z379" s="12"/>
      <c r="AA379" s="12"/>
      <c r="AB379" s="12"/>
      <c r="AC379" s="12" t="str">
        <f>Table1[[#This Row],[City or Community (Santa Clara County)]]</f>
        <v>San Jose</v>
      </c>
      <c r="AD379" s="12">
        <f>COUNTIF(H:H,Table1[[#This Row],[City or Community (Santa Clara County)]])</f>
        <v>91</v>
      </c>
      <c r="AE379" s="12" t="str">
        <f>Table1[[#This Row],[Please select your county]]</f>
        <v>Santa Clara County</v>
      </c>
      <c r="AF379" s="41">
        <f>COUNTIF(AE:AE,Table1[[#This Row],[County]])</f>
        <v>192</v>
      </c>
      <c r="AG379" s="12">
        <v>2025</v>
      </c>
    </row>
    <row r="380" spans="1:33" ht="15.5" x14ac:dyDescent="0.35">
      <c r="A380" s="12">
        <v>671</v>
      </c>
      <c r="B380" s="12" t="s">
        <v>151</v>
      </c>
      <c r="C380" s="12"/>
      <c r="D380" s="12"/>
      <c r="E380" s="12"/>
      <c r="F380" s="12"/>
      <c r="G380" s="12"/>
      <c r="H380" s="12" t="s">
        <v>380</v>
      </c>
      <c r="I380" s="12"/>
      <c r="J380" s="12"/>
      <c r="K380" s="10" t="s">
        <v>29</v>
      </c>
      <c r="L380" s="10" t="s">
        <v>268</v>
      </c>
      <c r="M380" s="10" t="s">
        <v>382</v>
      </c>
      <c r="N380" s="10"/>
      <c r="O380" s="12" t="s">
        <v>38</v>
      </c>
      <c r="P380" s="41">
        <v>400</v>
      </c>
      <c r="Q380" s="12" t="s">
        <v>281</v>
      </c>
      <c r="R380" s="12" t="s">
        <v>79</v>
      </c>
      <c r="S380" s="12" t="s">
        <v>382</v>
      </c>
      <c r="T380" s="12"/>
      <c r="U380" s="12"/>
      <c r="V380" s="12"/>
      <c r="W380" s="12"/>
      <c r="X380" s="12"/>
      <c r="Y380" s="12"/>
      <c r="Z380" s="12"/>
      <c r="AA380" s="12"/>
      <c r="AB380" s="12"/>
      <c r="AC380" s="12" t="str">
        <f>Table1[[#This Row],[City or Community (Santa Clara County)]]</f>
        <v>San Jose</v>
      </c>
      <c r="AD380" s="12">
        <f>COUNTIF(H:H,Table1[[#This Row],[City or Community (Santa Clara County)]])</f>
        <v>91</v>
      </c>
      <c r="AE380" s="12" t="str">
        <f>Table1[[#This Row],[Please select your county]]</f>
        <v>Santa Clara County</v>
      </c>
      <c r="AF380" s="41">
        <f>COUNTIF(AE:AE,Table1[[#This Row],[County]])</f>
        <v>192</v>
      </c>
      <c r="AG380" s="12">
        <v>2025</v>
      </c>
    </row>
    <row r="381" spans="1:33" ht="15.5" x14ac:dyDescent="0.35">
      <c r="A381" s="12">
        <v>638</v>
      </c>
      <c r="B381" s="12" t="s">
        <v>151</v>
      </c>
      <c r="C381" s="12"/>
      <c r="D381" s="12"/>
      <c r="E381" s="12"/>
      <c r="F381" s="12"/>
      <c r="G381" s="12"/>
      <c r="H381" s="12" t="s">
        <v>380</v>
      </c>
      <c r="I381" s="12"/>
      <c r="J381" s="12"/>
      <c r="K381" s="10" t="s">
        <v>31</v>
      </c>
      <c r="L381" s="10" t="s">
        <v>388</v>
      </c>
      <c r="M381" s="10" t="s">
        <v>160</v>
      </c>
      <c r="N381" s="10"/>
      <c r="O381" s="12" t="s">
        <v>38</v>
      </c>
      <c r="P381" s="41">
        <v>400</v>
      </c>
      <c r="Q381" s="12" t="s">
        <v>281</v>
      </c>
      <c r="R381" s="12" t="s">
        <v>79</v>
      </c>
      <c r="S381" s="12" t="s">
        <v>389</v>
      </c>
      <c r="T381" s="12"/>
      <c r="U381" s="12"/>
      <c r="V381" s="12"/>
      <c r="W381" s="12"/>
      <c r="X381" s="12"/>
      <c r="Y381" s="12"/>
      <c r="Z381" s="12"/>
      <c r="AA381" s="12"/>
      <c r="AB381" s="12"/>
      <c r="AC381" s="12" t="str">
        <f>Table1[[#This Row],[City or Community (Santa Clara County)]]</f>
        <v>San Jose</v>
      </c>
      <c r="AD381" s="12">
        <f>COUNTIF(H:H,Table1[[#This Row],[City or Community (Santa Clara County)]])</f>
        <v>91</v>
      </c>
      <c r="AE381" s="12" t="str">
        <f>Table1[[#This Row],[Please select your county]]</f>
        <v>Santa Clara County</v>
      </c>
      <c r="AF381" s="41">
        <f>COUNTIF(AE:AE,Table1[[#This Row],[County]])</f>
        <v>192</v>
      </c>
      <c r="AG381" s="12">
        <v>2025</v>
      </c>
    </row>
    <row r="382" spans="1:33" ht="15.5" x14ac:dyDescent="0.35">
      <c r="A382" s="12">
        <v>648</v>
      </c>
      <c r="B382" s="12" t="s">
        <v>151</v>
      </c>
      <c r="C382" s="12"/>
      <c r="D382" s="12"/>
      <c r="E382" s="12"/>
      <c r="F382" s="12"/>
      <c r="G382" s="12"/>
      <c r="H382" s="12" t="s">
        <v>380</v>
      </c>
      <c r="I382" s="12"/>
      <c r="J382" s="12"/>
      <c r="K382" s="10" t="s">
        <v>31</v>
      </c>
      <c r="L382" s="10" t="s">
        <v>390</v>
      </c>
      <c r="M382" s="10" t="s">
        <v>160</v>
      </c>
      <c r="N382" s="10"/>
      <c r="O382" s="12" t="s">
        <v>38</v>
      </c>
      <c r="P382" s="41">
        <v>400</v>
      </c>
      <c r="Q382" s="12" t="s">
        <v>281</v>
      </c>
      <c r="R382" s="12" t="s">
        <v>79</v>
      </c>
      <c r="S382" s="12" t="s">
        <v>382</v>
      </c>
      <c r="T382" s="12"/>
      <c r="U382" s="12"/>
      <c r="V382" s="12"/>
      <c r="W382" s="12"/>
      <c r="X382" s="12"/>
      <c r="Y382" s="12"/>
      <c r="Z382" s="12"/>
      <c r="AA382" s="12"/>
      <c r="AB382" s="12"/>
      <c r="AC382" s="12" t="str">
        <f>Table1[[#This Row],[City or Community (Santa Clara County)]]</f>
        <v>San Jose</v>
      </c>
      <c r="AD382" s="12">
        <f>COUNTIF(H:H,Table1[[#This Row],[City or Community (Santa Clara County)]])</f>
        <v>91</v>
      </c>
      <c r="AE382" s="12" t="str">
        <f>Table1[[#This Row],[Please select your county]]</f>
        <v>Santa Clara County</v>
      </c>
      <c r="AF382" s="41">
        <f>COUNTIF(AE:AE,Table1[[#This Row],[County]])</f>
        <v>192</v>
      </c>
      <c r="AG382" s="12">
        <v>2025</v>
      </c>
    </row>
    <row r="383" spans="1:33" ht="15.5" x14ac:dyDescent="0.35">
      <c r="A383" s="12">
        <v>676</v>
      </c>
      <c r="B383" s="12" t="s">
        <v>151</v>
      </c>
      <c r="C383" s="12"/>
      <c r="D383" s="12"/>
      <c r="E383" s="12"/>
      <c r="F383" s="12"/>
      <c r="G383" s="12"/>
      <c r="H383" s="12" t="s">
        <v>380</v>
      </c>
      <c r="I383" s="12"/>
      <c r="J383" s="12"/>
      <c r="K383" s="10" t="s">
        <v>386</v>
      </c>
      <c r="L383" s="10" t="s">
        <v>268</v>
      </c>
      <c r="M383" s="10" t="s">
        <v>382</v>
      </c>
      <c r="N383" s="10"/>
      <c r="O383" s="12" t="s">
        <v>38</v>
      </c>
      <c r="P383" s="41">
        <v>400</v>
      </c>
      <c r="Q383" s="12" t="s">
        <v>281</v>
      </c>
      <c r="R383" t="s">
        <v>68</v>
      </c>
      <c r="S383" s="12" t="s">
        <v>382</v>
      </c>
      <c r="T383" s="12"/>
      <c r="U383" s="12"/>
      <c r="V383" s="12"/>
      <c r="W383" s="12"/>
      <c r="X383" s="12"/>
      <c r="Y383" s="12"/>
      <c r="Z383" s="12"/>
      <c r="AA383" s="12"/>
      <c r="AB383" s="12"/>
      <c r="AC383" s="12" t="str">
        <f>Table1[[#This Row],[City or Community (Santa Clara County)]]</f>
        <v>San Jose</v>
      </c>
      <c r="AD383" s="12">
        <f>COUNTIF(H:H,Table1[[#This Row],[City or Community (Santa Clara County)]])</f>
        <v>91</v>
      </c>
      <c r="AE383" s="12" t="str">
        <f>Table1[[#This Row],[Please select your county]]</f>
        <v>Santa Clara County</v>
      </c>
      <c r="AF383" s="41">
        <f>COUNTIF(AE:AE,Table1[[#This Row],[County]])</f>
        <v>192</v>
      </c>
      <c r="AG383" s="12">
        <v>2025</v>
      </c>
    </row>
    <row r="384" spans="1:33" ht="15.5" x14ac:dyDescent="0.35">
      <c r="A384" s="12">
        <v>674</v>
      </c>
      <c r="B384" s="12" t="s">
        <v>151</v>
      </c>
      <c r="C384" s="12"/>
      <c r="D384" s="12"/>
      <c r="E384" s="12"/>
      <c r="F384" s="12"/>
      <c r="G384" s="12"/>
      <c r="H384" s="12" t="s">
        <v>380</v>
      </c>
      <c r="I384" s="12"/>
      <c r="J384" s="12"/>
      <c r="K384" s="10" t="s">
        <v>273</v>
      </c>
      <c r="L384" s="10" t="s">
        <v>384</v>
      </c>
      <c r="M384" s="10" t="s">
        <v>160</v>
      </c>
      <c r="N384" s="10"/>
      <c r="O384" s="10" t="s">
        <v>39</v>
      </c>
      <c r="P384" s="41">
        <v>400</v>
      </c>
      <c r="Q384" s="12" t="s">
        <v>271</v>
      </c>
      <c r="R384" s="12" t="s">
        <v>76</v>
      </c>
      <c r="S384" s="12" t="s">
        <v>391</v>
      </c>
      <c r="T384" s="12"/>
      <c r="U384" s="12"/>
      <c r="V384" s="12"/>
      <c r="W384" s="12"/>
      <c r="X384" s="12"/>
      <c r="Y384" s="12"/>
      <c r="Z384" s="12"/>
      <c r="AA384" s="12"/>
      <c r="AB384" s="12"/>
      <c r="AC384" s="12" t="str">
        <f>Table1[[#This Row],[City or Community (Santa Clara County)]]</f>
        <v>San Jose</v>
      </c>
      <c r="AD384" s="12">
        <f>COUNTIF(H:H,Table1[[#This Row],[City or Community (Santa Clara County)]])</f>
        <v>91</v>
      </c>
      <c r="AE384" s="12" t="str">
        <f>Table1[[#This Row],[Please select your county]]</f>
        <v>Santa Clara County</v>
      </c>
      <c r="AF384" s="41">
        <f>COUNTIF(AE:AE,Table1[[#This Row],[County]])</f>
        <v>192</v>
      </c>
      <c r="AG384" s="12">
        <v>2025</v>
      </c>
    </row>
    <row r="385" spans="1:33" ht="15.5" x14ac:dyDescent="0.35">
      <c r="A385" s="12">
        <v>620</v>
      </c>
      <c r="B385" s="12" t="s">
        <v>151</v>
      </c>
      <c r="C385" s="12"/>
      <c r="D385" s="12"/>
      <c r="E385" s="12"/>
      <c r="F385" s="12"/>
      <c r="G385" s="12"/>
      <c r="H385" s="12" t="s">
        <v>380</v>
      </c>
      <c r="I385" s="12"/>
      <c r="J385" s="12"/>
      <c r="K385" s="10" t="s">
        <v>29</v>
      </c>
      <c r="L385" s="10" t="s">
        <v>381</v>
      </c>
      <c r="M385" s="10" t="s">
        <v>382</v>
      </c>
      <c r="N385" s="10"/>
      <c r="O385" s="12" t="s">
        <v>38</v>
      </c>
      <c r="P385" s="41">
        <v>420</v>
      </c>
      <c r="Q385" s="12" t="s">
        <v>281</v>
      </c>
      <c r="R385" t="s">
        <v>68</v>
      </c>
      <c r="S385" s="12" t="s">
        <v>387</v>
      </c>
      <c r="T385" s="12"/>
      <c r="U385" s="12"/>
      <c r="V385" s="12"/>
      <c r="W385" s="12"/>
      <c r="X385" s="12"/>
      <c r="Y385" s="12"/>
      <c r="Z385" s="12"/>
      <c r="AA385" s="12"/>
      <c r="AB385" s="12"/>
      <c r="AC385" s="12" t="str">
        <f>Table1[[#This Row],[City or Community (Santa Clara County)]]</f>
        <v>San Jose</v>
      </c>
      <c r="AD385" s="12">
        <f>COUNTIF(H:H,Table1[[#This Row],[City or Community (Santa Clara County)]])</f>
        <v>91</v>
      </c>
      <c r="AE385" s="12" t="str">
        <f>Table1[[#This Row],[Please select your county]]</f>
        <v>Santa Clara County</v>
      </c>
      <c r="AF385" s="41">
        <f>COUNTIF(AE:AE,Table1[[#This Row],[County]])</f>
        <v>192</v>
      </c>
      <c r="AG385" s="12">
        <v>2025</v>
      </c>
    </row>
    <row r="386" spans="1:33" ht="15.5" x14ac:dyDescent="0.35">
      <c r="A386" s="12">
        <v>625</v>
      </c>
      <c r="B386" s="12" t="s">
        <v>151</v>
      </c>
      <c r="C386" s="12"/>
      <c r="D386" s="12"/>
      <c r="E386" s="12"/>
      <c r="F386" s="12"/>
      <c r="G386" s="12"/>
      <c r="H386" s="12" t="s">
        <v>380</v>
      </c>
      <c r="I386" s="12"/>
      <c r="J386" s="12"/>
      <c r="K386" s="10" t="s">
        <v>273</v>
      </c>
      <c r="L386" s="10" t="s">
        <v>384</v>
      </c>
      <c r="M386" s="10" t="s">
        <v>160</v>
      </c>
      <c r="N386" s="10"/>
      <c r="O386" s="10" t="s">
        <v>39</v>
      </c>
      <c r="P386" s="41">
        <v>420</v>
      </c>
      <c r="Q386" s="12" t="s">
        <v>271</v>
      </c>
      <c r="R386" s="12" t="s">
        <v>76</v>
      </c>
      <c r="S386" s="12" t="s">
        <v>382</v>
      </c>
      <c r="T386" s="12"/>
      <c r="U386" s="12"/>
      <c r="V386" s="12"/>
      <c r="W386" s="12"/>
      <c r="X386" s="12"/>
      <c r="Y386" s="12"/>
      <c r="Z386" s="12"/>
      <c r="AA386" s="12"/>
      <c r="AB386" s="12"/>
      <c r="AC386" s="12" t="str">
        <f>Table1[[#This Row],[City or Community (Santa Clara County)]]</f>
        <v>San Jose</v>
      </c>
      <c r="AD386" s="12">
        <f>COUNTIF(H:H,Table1[[#This Row],[City or Community (Santa Clara County)]])</f>
        <v>91</v>
      </c>
      <c r="AE386" s="12" t="str">
        <f>Table1[[#This Row],[Please select your county]]</f>
        <v>Santa Clara County</v>
      </c>
      <c r="AF386" s="41">
        <f>COUNTIF(AE:AE,Table1[[#This Row],[County]])</f>
        <v>192</v>
      </c>
      <c r="AG386" s="12">
        <v>2025</v>
      </c>
    </row>
    <row r="387" spans="1:33" ht="15.5" x14ac:dyDescent="0.35">
      <c r="A387" s="12">
        <v>615</v>
      </c>
      <c r="B387" s="12" t="s">
        <v>151</v>
      </c>
      <c r="C387" s="12"/>
      <c r="D387" s="12"/>
      <c r="E387" s="12"/>
      <c r="F387" s="12"/>
      <c r="G387" s="12"/>
      <c r="H387" s="12" t="s">
        <v>380</v>
      </c>
      <c r="I387" s="12"/>
      <c r="J387" s="12"/>
      <c r="K387" s="10" t="s">
        <v>386</v>
      </c>
      <c r="L387" s="10" t="s">
        <v>381</v>
      </c>
      <c r="M387" s="10" t="s">
        <v>160</v>
      </c>
      <c r="N387" s="10"/>
      <c r="O387" s="12" t="s">
        <v>38</v>
      </c>
      <c r="P387" s="41">
        <v>430</v>
      </c>
      <c r="Q387" s="12" t="s">
        <v>281</v>
      </c>
      <c r="R387" t="s">
        <v>70</v>
      </c>
      <c r="S387" s="12" t="s">
        <v>382</v>
      </c>
      <c r="T387" s="12"/>
      <c r="U387" s="12"/>
      <c r="V387" s="12"/>
      <c r="W387" s="12"/>
      <c r="X387" s="12"/>
      <c r="Y387" s="12"/>
      <c r="Z387" s="12"/>
      <c r="AA387" s="12"/>
      <c r="AB387" s="12"/>
      <c r="AC387" s="12" t="str">
        <f>Table1[[#This Row],[City or Community (Santa Clara County)]]</f>
        <v>San Jose</v>
      </c>
      <c r="AD387" s="12">
        <f>COUNTIF(H:H,Table1[[#This Row],[City or Community (Santa Clara County)]])</f>
        <v>91</v>
      </c>
      <c r="AE387" s="12" t="str">
        <f>Table1[[#This Row],[Please select your county]]</f>
        <v>Santa Clara County</v>
      </c>
      <c r="AF387" s="41">
        <f>COUNTIF(AE:AE,Table1[[#This Row],[County]])</f>
        <v>192</v>
      </c>
      <c r="AG387" s="12">
        <v>2025</v>
      </c>
    </row>
    <row r="388" spans="1:33" ht="15.5" x14ac:dyDescent="0.35">
      <c r="A388" s="12">
        <v>642</v>
      </c>
      <c r="B388" s="12" t="s">
        <v>151</v>
      </c>
      <c r="C388" s="12"/>
      <c r="D388" s="12"/>
      <c r="E388" s="12"/>
      <c r="F388" s="12"/>
      <c r="G388" s="12"/>
      <c r="H388" s="12" t="s">
        <v>380</v>
      </c>
      <c r="I388" s="12"/>
      <c r="J388" s="12"/>
      <c r="K388" s="10" t="s">
        <v>29</v>
      </c>
      <c r="L388" s="10" t="s">
        <v>384</v>
      </c>
      <c r="M388" s="10" t="s">
        <v>160</v>
      </c>
      <c r="N388" s="10"/>
      <c r="O388" s="12" t="s">
        <v>38</v>
      </c>
      <c r="P388" s="41">
        <v>440</v>
      </c>
      <c r="Q388" s="12" t="s">
        <v>281</v>
      </c>
      <c r="R388" s="12" t="s">
        <v>79</v>
      </c>
      <c r="S388" s="12" t="s">
        <v>382</v>
      </c>
      <c r="T388" s="12"/>
      <c r="U388" s="12"/>
      <c r="V388" s="12"/>
      <c r="W388" s="12"/>
      <c r="X388" s="12"/>
      <c r="Y388" s="12"/>
      <c r="Z388" s="12"/>
      <c r="AA388" s="12"/>
      <c r="AB388" s="12"/>
      <c r="AC388" s="12" t="str">
        <f>Table1[[#This Row],[City or Community (Santa Clara County)]]</f>
        <v>San Jose</v>
      </c>
      <c r="AD388" s="12">
        <f>COUNTIF(H:H,Table1[[#This Row],[City or Community (Santa Clara County)]])</f>
        <v>91</v>
      </c>
      <c r="AE388" s="12" t="str">
        <f>Table1[[#This Row],[Please select your county]]</f>
        <v>Santa Clara County</v>
      </c>
      <c r="AF388" s="41">
        <f>COUNTIF(AE:AE,Table1[[#This Row],[County]])</f>
        <v>192</v>
      </c>
      <c r="AG388" s="12">
        <v>2025</v>
      </c>
    </row>
    <row r="389" spans="1:33" ht="15.5" x14ac:dyDescent="0.35">
      <c r="A389" s="12">
        <v>647</v>
      </c>
      <c r="B389" s="12" t="s">
        <v>151</v>
      </c>
      <c r="C389" s="12"/>
      <c r="D389" s="12"/>
      <c r="E389" s="12"/>
      <c r="F389" s="12"/>
      <c r="G389" s="12"/>
      <c r="H389" s="12" t="s">
        <v>380</v>
      </c>
      <c r="I389" s="12"/>
      <c r="J389" s="12"/>
      <c r="K389" s="10" t="s">
        <v>273</v>
      </c>
      <c r="L389" s="10" t="s">
        <v>381</v>
      </c>
      <c r="M389" s="10" t="s">
        <v>160</v>
      </c>
      <c r="N389" s="10"/>
      <c r="O389" s="10" t="s">
        <v>39</v>
      </c>
      <c r="P389" s="41">
        <v>440</v>
      </c>
      <c r="Q389" s="12" t="s">
        <v>271</v>
      </c>
      <c r="R389" s="12" t="s">
        <v>76</v>
      </c>
      <c r="S389" s="12" t="s">
        <v>382</v>
      </c>
      <c r="T389" s="12"/>
      <c r="U389" s="12"/>
      <c r="V389" s="12"/>
      <c r="W389" s="12"/>
      <c r="X389" s="12"/>
      <c r="Y389" s="12"/>
      <c r="Z389" s="12"/>
      <c r="AA389" s="12"/>
      <c r="AB389" s="12"/>
      <c r="AC389" s="12" t="str">
        <f>Table1[[#This Row],[City or Community (Santa Clara County)]]</f>
        <v>San Jose</v>
      </c>
      <c r="AD389" s="12">
        <f>COUNTIF(H:H,Table1[[#This Row],[City or Community (Santa Clara County)]])</f>
        <v>91</v>
      </c>
      <c r="AE389" s="12" t="str">
        <f>Table1[[#This Row],[Please select your county]]</f>
        <v>Santa Clara County</v>
      </c>
      <c r="AF389" s="41">
        <f>COUNTIF(AE:AE,Table1[[#This Row],[County]])</f>
        <v>192</v>
      </c>
      <c r="AG389" s="12">
        <v>2025</v>
      </c>
    </row>
    <row r="390" spans="1:33" ht="15.5" x14ac:dyDescent="0.35">
      <c r="A390" s="12">
        <v>668</v>
      </c>
      <c r="B390" s="12" t="s">
        <v>151</v>
      </c>
      <c r="C390" s="12"/>
      <c r="D390" s="12"/>
      <c r="E390" s="12"/>
      <c r="F390" s="12"/>
      <c r="G390" s="12"/>
      <c r="H390" s="12" t="s">
        <v>380</v>
      </c>
      <c r="I390" s="12"/>
      <c r="J390" s="12"/>
      <c r="K390" s="10" t="s">
        <v>386</v>
      </c>
      <c r="L390" s="10" t="s">
        <v>381</v>
      </c>
      <c r="M390" s="10" t="s">
        <v>160</v>
      </c>
      <c r="N390" s="10"/>
      <c r="O390" s="12" t="s">
        <v>38</v>
      </c>
      <c r="P390" s="41">
        <v>448</v>
      </c>
      <c r="Q390" s="12" t="s">
        <v>281</v>
      </c>
      <c r="R390" t="s">
        <v>71</v>
      </c>
      <c r="S390" s="12" t="s">
        <v>392</v>
      </c>
      <c r="T390" s="12"/>
      <c r="U390" s="12"/>
      <c r="V390" s="12"/>
      <c r="W390" s="12"/>
      <c r="X390" s="12"/>
      <c r="Y390" s="12"/>
      <c r="Z390" s="12"/>
      <c r="AA390" s="12"/>
      <c r="AB390" s="12"/>
      <c r="AC390" s="12" t="str">
        <f>Table1[[#This Row],[City or Community (Santa Clara County)]]</f>
        <v>San Jose</v>
      </c>
      <c r="AD390" s="12">
        <f>COUNTIF(H:H,Table1[[#This Row],[City or Community (Santa Clara County)]])</f>
        <v>91</v>
      </c>
      <c r="AE390" s="12" t="str">
        <f>Table1[[#This Row],[Please select your county]]</f>
        <v>Santa Clara County</v>
      </c>
      <c r="AF390" s="41">
        <f>COUNTIF(AE:AE,Table1[[#This Row],[County]])</f>
        <v>192</v>
      </c>
      <c r="AG390" s="12">
        <v>2025</v>
      </c>
    </row>
    <row r="391" spans="1:33" ht="15.5" x14ac:dyDescent="0.35">
      <c r="A391" s="12">
        <v>616</v>
      </c>
      <c r="B391" s="12" t="s">
        <v>151</v>
      </c>
      <c r="C391" s="12"/>
      <c r="D391" s="12"/>
      <c r="E391" s="12"/>
      <c r="F391" s="12"/>
      <c r="G391" s="12"/>
      <c r="H391" s="12" t="s">
        <v>380</v>
      </c>
      <c r="I391" s="12"/>
      <c r="J391" s="12"/>
      <c r="K391" s="10" t="s">
        <v>29</v>
      </c>
      <c r="L391" s="10" t="s">
        <v>381</v>
      </c>
      <c r="M391" s="10" t="s">
        <v>160</v>
      </c>
      <c r="N391" s="10"/>
      <c r="O391" s="12" t="s">
        <v>38</v>
      </c>
      <c r="P391" s="41">
        <v>450</v>
      </c>
      <c r="Q391" s="12" t="s">
        <v>281</v>
      </c>
      <c r="R391" t="s">
        <v>69</v>
      </c>
      <c r="S391" s="12" t="s">
        <v>382</v>
      </c>
      <c r="T391" s="12"/>
      <c r="U391" s="12"/>
      <c r="V391" s="12"/>
      <c r="W391" s="12"/>
      <c r="X391" s="12"/>
      <c r="Y391" s="12"/>
      <c r="Z391" s="12"/>
      <c r="AA391" s="12"/>
      <c r="AB391" s="12"/>
      <c r="AC391" s="12" t="str">
        <f>Table1[[#This Row],[City or Community (Santa Clara County)]]</f>
        <v>San Jose</v>
      </c>
      <c r="AD391" s="12">
        <f>COUNTIF(H:H,Table1[[#This Row],[City or Community (Santa Clara County)]])</f>
        <v>91</v>
      </c>
      <c r="AE391" s="12" t="str">
        <f>Table1[[#This Row],[Please select your county]]</f>
        <v>Santa Clara County</v>
      </c>
      <c r="AF391" s="41">
        <f>COUNTIF(AE:AE,Table1[[#This Row],[County]])</f>
        <v>192</v>
      </c>
      <c r="AG391" s="12">
        <v>2025</v>
      </c>
    </row>
    <row r="392" spans="1:33" ht="15.5" x14ac:dyDescent="0.35">
      <c r="A392" s="12">
        <v>634</v>
      </c>
      <c r="B392" s="12" t="s">
        <v>151</v>
      </c>
      <c r="C392" s="12"/>
      <c r="D392" s="12"/>
      <c r="E392" s="12"/>
      <c r="F392" s="12"/>
      <c r="G392" s="12"/>
      <c r="H392" s="12" t="s">
        <v>380</v>
      </c>
      <c r="I392" s="12"/>
      <c r="J392" s="12"/>
      <c r="K392" s="10" t="s">
        <v>29</v>
      </c>
      <c r="L392" s="10" t="s">
        <v>384</v>
      </c>
      <c r="M392" s="10" t="s">
        <v>160</v>
      </c>
      <c r="N392" s="10"/>
      <c r="O392" s="12" t="s">
        <v>38</v>
      </c>
      <c r="P392" s="41">
        <v>450</v>
      </c>
      <c r="Q392" s="12" t="s">
        <v>281</v>
      </c>
      <c r="R392" s="12" t="s">
        <v>79</v>
      </c>
      <c r="S392" s="12" t="s">
        <v>391</v>
      </c>
      <c r="T392" s="12"/>
      <c r="U392" s="12"/>
      <c r="V392" s="12"/>
      <c r="W392" s="12"/>
      <c r="X392" s="12"/>
      <c r="Y392" s="12"/>
      <c r="Z392" s="12"/>
      <c r="AA392" s="12"/>
      <c r="AB392" s="12"/>
      <c r="AC392" s="12" t="str">
        <f>Table1[[#This Row],[City or Community (Santa Clara County)]]</f>
        <v>San Jose</v>
      </c>
      <c r="AD392" s="12">
        <f>COUNTIF(H:H,Table1[[#This Row],[City or Community (Santa Clara County)]])</f>
        <v>91</v>
      </c>
      <c r="AE392" s="12" t="str">
        <f>Table1[[#This Row],[Please select your county]]</f>
        <v>Santa Clara County</v>
      </c>
      <c r="AF392" s="41">
        <f>COUNTIF(AE:AE,Table1[[#This Row],[County]])</f>
        <v>192</v>
      </c>
      <c r="AG392" s="12">
        <v>2025</v>
      </c>
    </row>
    <row r="393" spans="1:33" ht="15.5" x14ac:dyDescent="0.35">
      <c r="A393" s="12">
        <v>694</v>
      </c>
      <c r="B393" s="12" t="s">
        <v>151</v>
      </c>
      <c r="C393" s="12"/>
      <c r="D393" s="12"/>
      <c r="E393" s="12"/>
      <c r="F393" s="12"/>
      <c r="G393" s="12"/>
      <c r="H393" s="12" t="s">
        <v>380</v>
      </c>
      <c r="I393" s="12"/>
      <c r="J393" s="12"/>
      <c r="K393" s="10" t="s">
        <v>29</v>
      </c>
      <c r="L393" s="10" t="s">
        <v>268</v>
      </c>
      <c r="M393" s="10" t="s">
        <v>160</v>
      </c>
      <c r="N393" s="10"/>
      <c r="O393" s="12" t="s">
        <v>38</v>
      </c>
      <c r="P393" s="41">
        <v>450</v>
      </c>
      <c r="Q393" s="12" t="s">
        <v>281</v>
      </c>
      <c r="R393" s="12" t="s">
        <v>79</v>
      </c>
      <c r="S393" s="12" t="s">
        <v>391</v>
      </c>
      <c r="T393" s="12"/>
      <c r="U393" s="12"/>
      <c r="V393" s="12"/>
      <c r="W393" s="12"/>
      <c r="X393" s="12"/>
      <c r="Y393" s="12"/>
      <c r="Z393" s="12"/>
      <c r="AA393" s="12"/>
      <c r="AB393" s="12"/>
      <c r="AC393" s="12" t="str">
        <f>Table1[[#This Row],[City or Community (Santa Clara County)]]</f>
        <v>San Jose</v>
      </c>
      <c r="AD393" s="12">
        <f>COUNTIF(H:H,Table1[[#This Row],[City or Community (Santa Clara County)]])</f>
        <v>91</v>
      </c>
      <c r="AE393" s="12" t="str">
        <f>Table1[[#This Row],[Please select your county]]</f>
        <v>Santa Clara County</v>
      </c>
      <c r="AF393" s="41">
        <f>COUNTIF(AE:AE,Table1[[#This Row],[County]])</f>
        <v>192</v>
      </c>
      <c r="AG393" s="12">
        <v>2025</v>
      </c>
    </row>
    <row r="394" spans="1:33" ht="15.5" x14ac:dyDescent="0.35">
      <c r="A394" s="12">
        <v>626</v>
      </c>
      <c r="B394" s="12" t="s">
        <v>151</v>
      </c>
      <c r="C394" s="12"/>
      <c r="D394" s="12"/>
      <c r="E394" s="12"/>
      <c r="F394" s="12"/>
      <c r="G394" s="12"/>
      <c r="H394" s="12" t="s">
        <v>380</v>
      </c>
      <c r="I394" s="12"/>
      <c r="J394" s="12"/>
      <c r="K394" s="10" t="s">
        <v>31</v>
      </c>
      <c r="L394" s="10" t="s">
        <v>381</v>
      </c>
      <c r="M394" s="10" t="s">
        <v>160</v>
      </c>
      <c r="N394" s="10"/>
      <c r="O394" s="12" t="s">
        <v>38</v>
      </c>
      <c r="P394" s="41">
        <v>450</v>
      </c>
      <c r="Q394" s="12" t="s">
        <v>281</v>
      </c>
      <c r="R394" s="12" t="s">
        <v>79</v>
      </c>
      <c r="S394" s="12" t="s">
        <v>382</v>
      </c>
      <c r="T394" s="12"/>
      <c r="U394" s="12"/>
      <c r="V394" s="12"/>
      <c r="W394" s="12"/>
      <c r="X394" s="12"/>
      <c r="Y394" s="12"/>
      <c r="Z394" s="12"/>
      <c r="AA394" s="12"/>
      <c r="AB394" s="12"/>
      <c r="AC394" s="12" t="str">
        <f>Table1[[#This Row],[City or Community (Santa Clara County)]]</f>
        <v>San Jose</v>
      </c>
      <c r="AD394" s="12">
        <f>COUNTIF(H:H,Table1[[#This Row],[City or Community (Santa Clara County)]])</f>
        <v>91</v>
      </c>
      <c r="AE394" s="12" t="str">
        <f>Table1[[#This Row],[Please select your county]]</f>
        <v>Santa Clara County</v>
      </c>
      <c r="AF394" s="41">
        <f>COUNTIF(AE:AE,Table1[[#This Row],[County]])</f>
        <v>192</v>
      </c>
      <c r="AG394" s="12">
        <v>2025</v>
      </c>
    </row>
    <row r="395" spans="1:33" ht="15.5" x14ac:dyDescent="0.35">
      <c r="A395" s="12">
        <v>649</v>
      </c>
      <c r="B395" s="12" t="s">
        <v>151</v>
      </c>
      <c r="C395" s="12"/>
      <c r="D395" s="12"/>
      <c r="E395" s="12"/>
      <c r="F395" s="12"/>
      <c r="G395" s="12"/>
      <c r="H395" s="12" t="s">
        <v>380</v>
      </c>
      <c r="I395" s="12"/>
      <c r="J395" s="12"/>
      <c r="K395" s="10" t="s">
        <v>29</v>
      </c>
      <c r="L395" s="10" t="s">
        <v>268</v>
      </c>
      <c r="M395" s="10" t="s">
        <v>382</v>
      </c>
      <c r="N395" s="10"/>
      <c r="O395" s="12" t="s">
        <v>38</v>
      </c>
      <c r="P395" s="41">
        <v>460</v>
      </c>
      <c r="Q395" s="12" t="s">
        <v>281</v>
      </c>
      <c r="R395" t="s">
        <v>68</v>
      </c>
      <c r="S395" s="12" t="s">
        <v>382</v>
      </c>
      <c r="T395" s="12"/>
      <c r="U395" s="12"/>
      <c r="V395" s="12"/>
      <c r="W395" s="12"/>
      <c r="X395" s="12"/>
      <c r="Y395" s="12"/>
      <c r="Z395" s="12"/>
      <c r="AA395" s="12"/>
      <c r="AB395" s="12"/>
      <c r="AC395" s="12" t="str">
        <f>Table1[[#This Row],[City or Community (Santa Clara County)]]</f>
        <v>San Jose</v>
      </c>
      <c r="AD395" s="12">
        <f>COUNTIF(H:H,Table1[[#This Row],[City or Community (Santa Clara County)]])</f>
        <v>91</v>
      </c>
      <c r="AE395" s="12" t="str">
        <f>Table1[[#This Row],[Please select your county]]</f>
        <v>Santa Clara County</v>
      </c>
      <c r="AF395" s="41">
        <f>COUNTIF(AE:AE,Table1[[#This Row],[County]])</f>
        <v>192</v>
      </c>
      <c r="AG395" s="12">
        <v>2025</v>
      </c>
    </row>
    <row r="396" spans="1:33" ht="15.5" x14ac:dyDescent="0.35">
      <c r="A396" s="12">
        <v>653</v>
      </c>
      <c r="B396" s="12" t="s">
        <v>151</v>
      </c>
      <c r="C396" s="12"/>
      <c r="D396" s="12"/>
      <c r="E396" s="12"/>
      <c r="F396" s="12"/>
      <c r="G396" s="12"/>
      <c r="H396" s="12" t="s">
        <v>380</v>
      </c>
      <c r="I396" s="12"/>
      <c r="J396" s="12"/>
      <c r="K396" s="10" t="s">
        <v>29</v>
      </c>
      <c r="L396" s="10" t="s">
        <v>381</v>
      </c>
      <c r="M396" s="10" t="s">
        <v>382</v>
      </c>
      <c r="N396" s="10"/>
      <c r="O396" s="12" t="s">
        <v>38</v>
      </c>
      <c r="P396" s="41">
        <v>462</v>
      </c>
      <c r="Q396" s="12" t="s">
        <v>281</v>
      </c>
      <c r="R396" s="12" t="s">
        <v>79</v>
      </c>
      <c r="S396" s="12" t="s">
        <v>387</v>
      </c>
      <c r="T396" s="12"/>
      <c r="U396" s="12"/>
      <c r="V396" s="12"/>
      <c r="W396" s="12"/>
      <c r="X396" s="12"/>
      <c r="Y396" s="12"/>
      <c r="Z396" s="12"/>
      <c r="AA396" s="12"/>
      <c r="AB396" s="12"/>
      <c r="AC396" s="12" t="str">
        <f>Table1[[#This Row],[City or Community (Santa Clara County)]]</f>
        <v>San Jose</v>
      </c>
      <c r="AD396" s="12">
        <f>COUNTIF(H:H,Table1[[#This Row],[City or Community (Santa Clara County)]])</f>
        <v>91</v>
      </c>
      <c r="AE396" s="12" t="str">
        <f>Table1[[#This Row],[Please select your county]]</f>
        <v>Santa Clara County</v>
      </c>
      <c r="AF396" s="41">
        <f>COUNTIF(AE:AE,Table1[[#This Row],[County]])</f>
        <v>192</v>
      </c>
      <c r="AG396" s="12">
        <v>2025</v>
      </c>
    </row>
    <row r="397" spans="1:33" ht="15.5" x14ac:dyDescent="0.35">
      <c r="A397" s="12">
        <v>672</v>
      </c>
      <c r="B397" s="12" t="s">
        <v>151</v>
      </c>
      <c r="C397" s="12"/>
      <c r="D397" s="12"/>
      <c r="E397" s="12"/>
      <c r="F397" s="12"/>
      <c r="G397" s="12"/>
      <c r="H397" s="12" t="s">
        <v>380</v>
      </c>
      <c r="I397" s="12"/>
      <c r="J397" s="12"/>
      <c r="K397" s="10" t="s">
        <v>29</v>
      </c>
      <c r="L397" s="10" t="s">
        <v>384</v>
      </c>
      <c r="M397" s="10" t="s">
        <v>382</v>
      </c>
      <c r="N397" s="10"/>
      <c r="O397" s="12" t="s">
        <v>38</v>
      </c>
      <c r="P397" s="41">
        <v>463</v>
      </c>
      <c r="Q397" s="12" t="s">
        <v>281</v>
      </c>
      <c r="R397" s="12" t="s">
        <v>79</v>
      </c>
      <c r="S397" s="12" t="s">
        <v>382</v>
      </c>
      <c r="T397" s="12"/>
      <c r="U397" s="12"/>
      <c r="V397" s="12"/>
      <c r="W397" s="12"/>
      <c r="X397" s="12"/>
      <c r="Y397" s="12"/>
      <c r="Z397" s="12"/>
      <c r="AA397" s="12"/>
      <c r="AB397" s="12"/>
      <c r="AC397" s="12" t="str">
        <f>Table1[[#This Row],[City or Community (Santa Clara County)]]</f>
        <v>San Jose</v>
      </c>
      <c r="AD397" s="12">
        <f>COUNTIF(H:H,Table1[[#This Row],[City or Community (Santa Clara County)]])</f>
        <v>91</v>
      </c>
      <c r="AE397" s="12" t="str">
        <f>Table1[[#This Row],[Please select your county]]</f>
        <v>Santa Clara County</v>
      </c>
      <c r="AF397" s="41">
        <f>COUNTIF(AE:AE,Table1[[#This Row],[County]])</f>
        <v>192</v>
      </c>
      <c r="AG397" s="12">
        <v>2025</v>
      </c>
    </row>
    <row r="398" spans="1:33" ht="15.5" x14ac:dyDescent="0.35">
      <c r="A398" s="12">
        <v>617</v>
      </c>
      <c r="B398" s="12" t="s">
        <v>151</v>
      </c>
      <c r="C398" s="12"/>
      <c r="D398" s="12"/>
      <c r="E398" s="12"/>
      <c r="F398" s="12"/>
      <c r="G398" s="12"/>
      <c r="H398" s="12" t="s">
        <v>380</v>
      </c>
      <c r="I398" s="12"/>
      <c r="J398" s="12"/>
      <c r="K398" s="10" t="s">
        <v>29</v>
      </c>
      <c r="L398" s="10" t="s">
        <v>384</v>
      </c>
      <c r="M398" s="10" t="s">
        <v>160</v>
      </c>
      <c r="N398" s="10"/>
      <c r="O398" s="12" t="s">
        <v>38</v>
      </c>
      <c r="P398" s="41">
        <v>480</v>
      </c>
      <c r="Q398" s="12" t="s">
        <v>281</v>
      </c>
      <c r="R398" t="s">
        <v>68</v>
      </c>
      <c r="S398" s="12" t="s">
        <v>382</v>
      </c>
      <c r="T398" s="12"/>
      <c r="U398" s="12"/>
      <c r="V398" s="12"/>
      <c r="W398" s="12"/>
      <c r="X398" s="12"/>
      <c r="Y398" s="12"/>
      <c r="Z398" s="12"/>
      <c r="AA398" s="12"/>
      <c r="AB398" s="12"/>
      <c r="AC398" s="12" t="str">
        <f>Table1[[#This Row],[City or Community (Santa Clara County)]]</f>
        <v>San Jose</v>
      </c>
      <c r="AD398" s="12">
        <f>COUNTIF(H:H,Table1[[#This Row],[City or Community (Santa Clara County)]])</f>
        <v>91</v>
      </c>
      <c r="AE398" s="12" t="str">
        <f>Table1[[#This Row],[Please select your county]]</f>
        <v>Santa Clara County</v>
      </c>
      <c r="AF398" s="41">
        <f>COUNTIF(AE:AE,Table1[[#This Row],[County]])</f>
        <v>192</v>
      </c>
      <c r="AG398" s="12">
        <v>2025</v>
      </c>
    </row>
    <row r="399" spans="1:33" ht="15.5" x14ac:dyDescent="0.35">
      <c r="A399" s="12">
        <v>618</v>
      </c>
      <c r="B399" s="12" t="s">
        <v>151</v>
      </c>
      <c r="C399" s="12"/>
      <c r="D399" s="12"/>
      <c r="E399" s="12"/>
      <c r="F399" s="12"/>
      <c r="G399" s="12"/>
      <c r="H399" s="12" t="s">
        <v>380</v>
      </c>
      <c r="I399" s="12"/>
      <c r="J399" s="12"/>
      <c r="K399" s="10" t="s">
        <v>29</v>
      </c>
      <c r="L399" s="10" t="s">
        <v>381</v>
      </c>
      <c r="M399" s="10" t="s">
        <v>382</v>
      </c>
      <c r="N399" s="10"/>
      <c r="O399" s="12" t="s">
        <v>38</v>
      </c>
      <c r="P399" s="41">
        <v>480</v>
      </c>
      <c r="Q399" s="42">
        <v>2</v>
      </c>
      <c r="R399" t="s">
        <v>68</v>
      </c>
      <c r="S399" s="12" t="s">
        <v>391</v>
      </c>
      <c r="T399" s="12"/>
      <c r="U399" s="12"/>
      <c r="V399" s="12"/>
      <c r="W399" s="12"/>
      <c r="X399" s="12"/>
      <c r="Y399" s="12"/>
      <c r="Z399" s="12"/>
      <c r="AA399" s="12"/>
      <c r="AB399" s="12"/>
      <c r="AC399" s="12" t="str">
        <f>Table1[[#This Row],[City or Community (Santa Clara County)]]</f>
        <v>San Jose</v>
      </c>
      <c r="AD399" s="12">
        <f>COUNTIF(H:H,Table1[[#This Row],[City or Community (Santa Clara County)]])</f>
        <v>91</v>
      </c>
      <c r="AE399" s="12" t="str">
        <f>Table1[[#This Row],[Please select your county]]</f>
        <v>Santa Clara County</v>
      </c>
      <c r="AF399" s="41">
        <f>COUNTIF(AE:AE,Table1[[#This Row],[County]])</f>
        <v>192</v>
      </c>
      <c r="AG399" s="12">
        <v>2025</v>
      </c>
    </row>
    <row r="400" spans="1:33" ht="15.5" x14ac:dyDescent="0.35">
      <c r="A400" s="12">
        <v>621</v>
      </c>
      <c r="B400" s="12" t="s">
        <v>151</v>
      </c>
      <c r="C400" s="12"/>
      <c r="D400" s="12"/>
      <c r="E400" s="12"/>
      <c r="F400" s="12"/>
      <c r="G400" s="12"/>
      <c r="H400" s="12" t="s">
        <v>380</v>
      </c>
      <c r="I400" s="12"/>
      <c r="J400" s="12"/>
      <c r="K400" s="10" t="s">
        <v>29</v>
      </c>
      <c r="L400" s="10" t="s">
        <v>384</v>
      </c>
      <c r="M400" s="10" t="s">
        <v>160</v>
      </c>
      <c r="N400" s="10"/>
      <c r="O400" s="12" t="s">
        <v>38</v>
      </c>
      <c r="P400" s="41">
        <v>497</v>
      </c>
      <c r="Q400" s="12" t="s">
        <v>281</v>
      </c>
      <c r="R400" t="s">
        <v>68</v>
      </c>
      <c r="S400" s="12" t="s">
        <v>382</v>
      </c>
      <c r="T400" s="12"/>
      <c r="U400" s="12"/>
      <c r="V400" s="12"/>
      <c r="W400" s="12"/>
      <c r="X400" s="12"/>
      <c r="Y400" s="12"/>
      <c r="Z400" s="12"/>
      <c r="AA400" s="12"/>
      <c r="AB400" s="12"/>
      <c r="AC400" s="12" t="str">
        <f>Table1[[#This Row],[City or Community (Santa Clara County)]]</f>
        <v>San Jose</v>
      </c>
      <c r="AD400" s="12">
        <f>COUNTIF(H:H,Table1[[#This Row],[City or Community (Santa Clara County)]])</f>
        <v>91</v>
      </c>
      <c r="AE400" s="12" t="str">
        <f>Table1[[#This Row],[Please select your county]]</f>
        <v>Santa Clara County</v>
      </c>
      <c r="AF400" s="41">
        <f>COUNTIF(AE:AE,Table1[[#This Row],[County]])</f>
        <v>192</v>
      </c>
      <c r="AG400" s="12">
        <v>2025</v>
      </c>
    </row>
    <row r="401" spans="1:33" ht="15.5" x14ac:dyDescent="0.35">
      <c r="A401" s="12">
        <v>656</v>
      </c>
      <c r="B401" s="12" t="s">
        <v>151</v>
      </c>
      <c r="C401" s="12"/>
      <c r="D401" s="12"/>
      <c r="E401" s="12"/>
      <c r="F401" s="12"/>
      <c r="G401" s="12"/>
      <c r="H401" s="12" t="s">
        <v>380</v>
      </c>
      <c r="I401" s="12"/>
      <c r="J401" s="12"/>
      <c r="K401" s="10" t="s">
        <v>29</v>
      </c>
      <c r="L401" s="10" t="s">
        <v>384</v>
      </c>
      <c r="M401" s="10" t="s">
        <v>160</v>
      </c>
      <c r="N401" s="10"/>
      <c r="O401" s="12" t="s">
        <v>38</v>
      </c>
      <c r="P401" s="41">
        <v>498</v>
      </c>
      <c r="Q401" s="12" t="s">
        <v>281</v>
      </c>
      <c r="R401" s="12" t="s">
        <v>79</v>
      </c>
      <c r="S401" s="12" t="s">
        <v>382</v>
      </c>
      <c r="T401" s="12"/>
      <c r="U401" s="12"/>
      <c r="V401" s="12"/>
      <c r="W401" s="12"/>
      <c r="X401" s="12"/>
      <c r="Y401" s="12"/>
      <c r="Z401" s="12"/>
      <c r="AA401" s="12"/>
      <c r="AB401" s="12"/>
      <c r="AC401" s="12" t="str">
        <f>Table1[[#This Row],[City or Community (Santa Clara County)]]</f>
        <v>San Jose</v>
      </c>
      <c r="AD401" s="12">
        <f>COUNTIF(H:H,Table1[[#This Row],[City or Community (Santa Clara County)]])</f>
        <v>91</v>
      </c>
      <c r="AE401" s="12" t="str">
        <f>Table1[[#This Row],[Please select your county]]</f>
        <v>Santa Clara County</v>
      </c>
      <c r="AF401" s="41">
        <f>COUNTIF(AE:AE,Table1[[#This Row],[County]])</f>
        <v>192</v>
      </c>
      <c r="AG401" s="12">
        <v>2025</v>
      </c>
    </row>
    <row r="402" spans="1:33" ht="15.5" x14ac:dyDescent="0.35">
      <c r="A402" s="12">
        <v>447</v>
      </c>
      <c r="B402" s="12" t="s">
        <v>151</v>
      </c>
      <c r="C402" s="12"/>
      <c r="D402" s="12"/>
      <c r="E402" s="12"/>
      <c r="F402" s="12"/>
      <c r="G402" s="12"/>
      <c r="H402" s="12" t="s">
        <v>380</v>
      </c>
      <c r="I402" s="12"/>
      <c r="J402" s="12"/>
      <c r="K402" s="10" t="s">
        <v>274</v>
      </c>
      <c r="L402" s="10" t="s">
        <v>277</v>
      </c>
      <c r="M402" s="10" t="s">
        <v>269</v>
      </c>
      <c r="N402" s="10" t="s">
        <v>288</v>
      </c>
      <c r="O402" s="12" t="s">
        <v>38</v>
      </c>
      <c r="P402" s="12">
        <v>499</v>
      </c>
      <c r="Q402" s="12" t="s">
        <v>281</v>
      </c>
      <c r="R402" s="12" t="s">
        <v>79</v>
      </c>
      <c r="S402" s="12" t="s">
        <v>393</v>
      </c>
      <c r="T402" s="12" t="s">
        <v>159</v>
      </c>
      <c r="U402" s="12" t="s">
        <v>160</v>
      </c>
      <c r="V402" s="12"/>
      <c r="W402" s="12"/>
      <c r="X402" s="12"/>
      <c r="Y402" s="12"/>
      <c r="Z402" s="12"/>
      <c r="AA402" s="12"/>
      <c r="AB402" s="12"/>
      <c r="AC402" s="12" t="str">
        <f>Table1[[#This Row],[City or Community (Santa Clara County)]]</f>
        <v>San Jose</v>
      </c>
      <c r="AD402" s="12">
        <f>COUNTIF(H:H,Table1[[#This Row],[City or Community (Santa Clara County)]])</f>
        <v>91</v>
      </c>
      <c r="AE402" s="12" t="str">
        <f>Table1[[#This Row],[Please select your county]]</f>
        <v>Santa Clara County</v>
      </c>
      <c r="AF402" s="41">
        <f>COUNTIF(AE:AE,Table1[[#This Row],[County]])</f>
        <v>192</v>
      </c>
      <c r="AG402" s="12">
        <v>2025</v>
      </c>
    </row>
    <row r="403" spans="1:33" ht="15.5" x14ac:dyDescent="0.35">
      <c r="A403" s="12">
        <v>661</v>
      </c>
      <c r="B403" s="12" t="s">
        <v>151</v>
      </c>
      <c r="C403" s="12"/>
      <c r="D403" s="12"/>
      <c r="E403" s="12"/>
      <c r="F403" s="12"/>
      <c r="G403" s="12"/>
      <c r="H403" s="12" t="s">
        <v>380</v>
      </c>
      <c r="I403" s="12"/>
      <c r="J403" s="12"/>
      <c r="K403" s="10" t="s">
        <v>386</v>
      </c>
      <c r="L403" s="10" t="s">
        <v>381</v>
      </c>
      <c r="M403" s="10" t="s">
        <v>382</v>
      </c>
      <c r="N403" s="10"/>
      <c r="O403" s="12" t="s">
        <v>38</v>
      </c>
      <c r="P403" s="41">
        <v>500</v>
      </c>
      <c r="Q403" s="12" t="s">
        <v>271</v>
      </c>
      <c r="R403" t="s">
        <v>69</v>
      </c>
      <c r="S403" s="12" t="s">
        <v>382</v>
      </c>
      <c r="T403" s="12"/>
      <c r="U403" s="12"/>
      <c r="V403" s="12"/>
      <c r="W403" s="12"/>
      <c r="X403" s="12"/>
      <c r="Y403" s="12"/>
      <c r="Z403" s="12"/>
      <c r="AA403" s="12"/>
      <c r="AB403" s="12"/>
      <c r="AC403" s="12" t="str">
        <f>Table1[[#This Row],[City or Community (Santa Clara County)]]</f>
        <v>San Jose</v>
      </c>
      <c r="AD403" s="12">
        <f>COUNTIF(H:H,Table1[[#This Row],[City or Community (Santa Clara County)]])</f>
        <v>91</v>
      </c>
      <c r="AE403" s="12" t="str">
        <f>Table1[[#This Row],[Please select your county]]</f>
        <v>Santa Clara County</v>
      </c>
      <c r="AF403" s="41">
        <f>COUNTIF(AE:AE,Table1[[#This Row],[County]])</f>
        <v>192</v>
      </c>
      <c r="AG403" s="12">
        <v>2025</v>
      </c>
    </row>
    <row r="404" spans="1:33" ht="15.5" x14ac:dyDescent="0.35">
      <c r="A404" s="12">
        <v>640</v>
      </c>
      <c r="B404" s="12" t="s">
        <v>151</v>
      </c>
      <c r="C404" s="12"/>
      <c r="D404" s="12"/>
      <c r="E404" s="12"/>
      <c r="F404" s="12"/>
      <c r="G404" s="12"/>
      <c r="H404" s="12" t="s">
        <v>380</v>
      </c>
      <c r="I404" s="12"/>
      <c r="J404" s="12"/>
      <c r="K404" s="10" t="s">
        <v>31</v>
      </c>
      <c r="L404" s="10" t="s">
        <v>384</v>
      </c>
      <c r="M404" s="10" t="s">
        <v>160</v>
      </c>
      <c r="N404" s="10"/>
      <c r="O404" s="12" t="s">
        <v>38</v>
      </c>
      <c r="P404" s="41">
        <v>530</v>
      </c>
      <c r="Q404" s="42">
        <v>2</v>
      </c>
      <c r="R404" s="12" t="s">
        <v>79</v>
      </c>
      <c r="S404" s="12" t="s">
        <v>391</v>
      </c>
      <c r="T404" s="12"/>
      <c r="U404" s="12"/>
      <c r="V404" s="12"/>
      <c r="W404" s="12"/>
      <c r="X404" s="12"/>
      <c r="Y404" s="12"/>
      <c r="Z404" s="12"/>
      <c r="AA404" s="12"/>
      <c r="AB404" s="12"/>
      <c r="AC404" s="12" t="str">
        <f>Table1[[#This Row],[City or Community (Santa Clara County)]]</f>
        <v>San Jose</v>
      </c>
      <c r="AD404" s="12">
        <f>COUNTIF(H:H,Table1[[#This Row],[City or Community (Santa Clara County)]])</f>
        <v>91</v>
      </c>
      <c r="AE404" s="12" t="str">
        <f>Table1[[#This Row],[Please select your county]]</f>
        <v>Santa Clara County</v>
      </c>
      <c r="AF404" s="41">
        <f>COUNTIF(AE:AE,Table1[[#This Row],[County]])</f>
        <v>192</v>
      </c>
      <c r="AG404" s="12">
        <v>2025</v>
      </c>
    </row>
    <row r="405" spans="1:33" ht="15.5" x14ac:dyDescent="0.35">
      <c r="A405" s="12">
        <v>611</v>
      </c>
      <c r="B405" s="12" t="s">
        <v>151</v>
      </c>
      <c r="C405" s="12"/>
      <c r="D405" s="12"/>
      <c r="E405" s="12"/>
      <c r="F405" s="12"/>
      <c r="G405" s="12"/>
      <c r="H405" s="12" t="s">
        <v>380</v>
      </c>
      <c r="I405" s="12"/>
      <c r="J405" s="12"/>
      <c r="K405" s="10" t="s">
        <v>386</v>
      </c>
      <c r="L405" s="10" t="s">
        <v>384</v>
      </c>
      <c r="M405" s="10" t="s">
        <v>160</v>
      </c>
      <c r="N405" s="10"/>
      <c r="O405" s="12" t="s">
        <v>38</v>
      </c>
      <c r="P405" s="41">
        <v>543</v>
      </c>
      <c r="Q405" s="12" t="s">
        <v>281</v>
      </c>
      <c r="R405" t="s">
        <v>71</v>
      </c>
      <c r="S405" s="12" t="s">
        <v>382</v>
      </c>
      <c r="T405" s="12"/>
      <c r="U405" s="12"/>
      <c r="V405" s="12"/>
      <c r="W405" s="12"/>
      <c r="X405" s="12"/>
      <c r="Y405" s="12"/>
      <c r="Z405" s="12"/>
      <c r="AA405" s="12"/>
      <c r="AB405" s="12"/>
      <c r="AC405" s="12" t="str">
        <f>Table1[[#This Row],[City or Community (Santa Clara County)]]</f>
        <v>San Jose</v>
      </c>
      <c r="AD405" s="12">
        <f>COUNTIF(H:H,Table1[[#This Row],[City or Community (Santa Clara County)]])</f>
        <v>91</v>
      </c>
      <c r="AE405" s="12" t="str">
        <f>Table1[[#This Row],[Please select your county]]</f>
        <v>Santa Clara County</v>
      </c>
      <c r="AF405" s="41">
        <f>COUNTIF(AE:AE,Table1[[#This Row],[County]])</f>
        <v>192</v>
      </c>
      <c r="AG405" s="12">
        <v>2025</v>
      </c>
    </row>
    <row r="406" spans="1:33" ht="15.5" x14ac:dyDescent="0.35">
      <c r="A406" s="12">
        <v>675</v>
      </c>
      <c r="B406" s="12" t="s">
        <v>151</v>
      </c>
      <c r="C406" s="12"/>
      <c r="D406" s="12"/>
      <c r="E406" s="12"/>
      <c r="F406" s="12"/>
      <c r="G406" s="12"/>
      <c r="H406" s="12" t="s">
        <v>380</v>
      </c>
      <c r="I406" s="12"/>
      <c r="J406" s="12"/>
      <c r="K406" s="10" t="s">
        <v>31</v>
      </c>
      <c r="L406" s="10" t="s">
        <v>384</v>
      </c>
      <c r="M406" s="10" t="s">
        <v>160</v>
      </c>
      <c r="N406" s="10"/>
      <c r="O406" s="12" t="s">
        <v>38</v>
      </c>
      <c r="P406" s="41">
        <v>591</v>
      </c>
      <c r="Q406" s="42">
        <v>2</v>
      </c>
      <c r="R406" s="12" t="s">
        <v>79</v>
      </c>
      <c r="S406" s="12" t="s">
        <v>387</v>
      </c>
      <c r="T406" s="12"/>
      <c r="U406" s="12"/>
      <c r="V406" s="12"/>
      <c r="W406" s="12"/>
      <c r="X406" s="12"/>
      <c r="Y406" s="12"/>
      <c r="Z406" s="12"/>
      <c r="AA406" s="12"/>
      <c r="AB406" s="12"/>
      <c r="AC406" s="12" t="str">
        <f>Table1[[#This Row],[City or Community (Santa Clara County)]]</f>
        <v>San Jose</v>
      </c>
      <c r="AD406" s="12">
        <f>COUNTIF(H:H,Table1[[#This Row],[City or Community (Santa Clara County)]])</f>
        <v>91</v>
      </c>
      <c r="AE406" s="12" t="str">
        <f>Table1[[#This Row],[Please select your county]]</f>
        <v>Santa Clara County</v>
      </c>
      <c r="AF406" s="41">
        <f>COUNTIF(AE:AE,Table1[[#This Row],[County]])</f>
        <v>192</v>
      </c>
      <c r="AG406" s="12">
        <v>2025</v>
      </c>
    </row>
    <row r="407" spans="1:33" ht="15.5" x14ac:dyDescent="0.35">
      <c r="A407" s="12">
        <v>622</v>
      </c>
      <c r="B407" s="12" t="s">
        <v>151</v>
      </c>
      <c r="C407" s="12"/>
      <c r="D407" s="12"/>
      <c r="E407" s="12"/>
      <c r="F407" s="12"/>
      <c r="G407" s="12"/>
      <c r="H407" s="12" t="s">
        <v>380</v>
      </c>
      <c r="I407" s="12"/>
      <c r="J407" s="12"/>
      <c r="K407" s="10" t="s">
        <v>29</v>
      </c>
      <c r="L407" s="10" t="s">
        <v>384</v>
      </c>
      <c r="M407" s="10" t="s">
        <v>160</v>
      </c>
      <c r="N407" s="10"/>
      <c r="O407" s="12" t="s">
        <v>38</v>
      </c>
      <c r="P407" s="41">
        <v>600</v>
      </c>
      <c r="Q407" s="12" t="s">
        <v>281</v>
      </c>
      <c r="R407" s="12" t="s">
        <v>67</v>
      </c>
      <c r="S407" s="12" t="s">
        <v>83</v>
      </c>
      <c r="T407" s="12"/>
      <c r="U407" s="12"/>
      <c r="V407" s="12"/>
      <c r="W407" s="12"/>
      <c r="X407" s="12"/>
      <c r="Y407" s="12"/>
      <c r="Z407" s="12"/>
      <c r="AA407" s="12"/>
      <c r="AB407" s="12"/>
      <c r="AC407" s="12" t="str">
        <f>Table1[[#This Row],[City or Community (Santa Clara County)]]</f>
        <v>San Jose</v>
      </c>
      <c r="AD407" s="12">
        <f>COUNTIF(H:H,Table1[[#This Row],[City or Community (Santa Clara County)]])</f>
        <v>91</v>
      </c>
      <c r="AE407" s="12" t="str">
        <f>Table1[[#This Row],[Please select your county]]</f>
        <v>Santa Clara County</v>
      </c>
      <c r="AF407" s="41">
        <f>COUNTIF(AE:AE,Table1[[#This Row],[County]])</f>
        <v>192</v>
      </c>
      <c r="AG407" s="12">
        <v>2025</v>
      </c>
    </row>
    <row r="408" spans="1:33" ht="15.5" x14ac:dyDescent="0.35">
      <c r="A408" s="12">
        <v>664</v>
      </c>
      <c r="B408" s="12" t="s">
        <v>151</v>
      </c>
      <c r="C408" s="12"/>
      <c r="D408" s="12"/>
      <c r="E408" s="12"/>
      <c r="F408" s="12"/>
      <c r="G408" s="12"/>
      <c r="H408" s="12" t="s">
        <v>380</v>
      </c>
      <c r="I408" s="12"/>
      <c r="J408" s="12"/>
      <c r="K408" s="10" t="s">
        <v>386</v>
      </c>
      <c r="L408" s="10" t="s">
        <v>381</v>
      </c>
      <c r="M408" s="10" t="s">
        <v>382</v>
      </c>
      <c r="N408" s="10"/>
      <c r="O408" s="12" t="s">
        <v>38</v>
      </c>
      <c r="P408" s="41">
        <v>600</v>
      </c>
      <c r="Q408" s="12" t="s">
        <v>271</v>
      </c>
      <c r="R408" t="s">
        <v>68</v>
      </c>
      <c r="S408" s="12" t="s">
        <v>382</v>
      </c>
      <c r="T408" s="12"/>
      <c r="U408" s="12"/>
      <c r="V408" s="12"/>
      <c r="W408" s="12"/>
      <c r="X408" s="12"/>
      <c r="Y408" s="12"/>
      <c r="Z408" s="12"/>
      <c r="AA408" s="12"/>
      <c r="AB408" s="12"/>
      <c r="AC408" s="12" t="str">
        <f>Table1[[#This Row],[City or Community (Santa Clara County)]]</f>
        <v>San Jose</v>
      </c>
      <c r="AD408" s="12">
        <f>COUNTIF(H:H,Table1[[#This Row],[City or Community (Santa Clara County)]])</f>
        <v>91</v>
      </c>
      <c r="AE408" s="12" t="str">
        <f>Table1[[#This Row],[Please select your county]]</f>
        <v>Santa Clara County</v>
      </c>
      <c r="AF408" s="41">
        <f>COUNTIF(AE:AE,Table1[[#This Row],[County]])</f>
        <v>192</v>
      </c>
      <c r="AG408" s="12">
        <v>2025</v>
      </c>
    </row>
    <row r="409" spans="1:33" ht="15.5" x14ac:dyDescent="0.35">
      <c r="A409" s="12">
        <v>696</v>
      </c>
      <c r="B409" s="12" t="s">
        <v>151</v>
      </c>
      <c r="C409" s="12"/>
      <c r="D409" s="12"/>
      <c r="E409" s="12"/>
      <c r="F409" s="12"/>
      <c r="G409" s="12"/>
      <c r="H409" s="12" t="s">
        <v>380</v>
      </c>
      <c r="I409" s="12"/>
      <c r="J409" s="12"/>
      <c r="K409" s="10" t="s">
        <v>29</v>
      </c>
      <c r="L409" s="10" t="s">
        <v>383</v>
      </c>
      <c r="M409" s="10" t="s">
        <v>382</v>
      </c>
      <c r="N409" s="10"/>
      <c r="O409" s="12" t="s">
        <v>38</v>
      </c>
      <c r="P409" s="41">
        <v>617</v>
      </c>
      <c r="Q409" s="12" t="s">
        <v>281</v>
      </c>
      <c r="R409" s="12" t="s">
        <v>79</v>
      </c>
      <c r="S409" s="12" t="s">
        <v>382</v>
      </c>
      <c r="T409" s="12"/>
      <c r="U409" s="12"/>
      <c r="V409" s="12"/>
      <c r="W409" s="12"/>
      <c r="X409" s="12"/>
      <c r="Y409" s="12"/>
      <c r="Z409" s="12"/>
      <c r="AA409" s="12"/>
      <c r="AB409" s="12"/>
      <c r="AC409" s="12" t="str">
        <f>Table1[[#This Row],[City or Community (Santa Clara County)]]</f>
        <v>San Jose</v>
      </c>
      <c r="AD409" s="12">
        <f>COUNTIF(H:H,Table1[[#This Row],[City or Community (Santa Clara County)]])</f>
        <v>91</v>
      </c>
      <c r="AE409" s="12" t="str">
        <f>Table1[[#This Row],[Please select your county]]</f>
        <v>Santa Clara County</v>
      </c>
      <c r="AF409" s="41">
        <f>COUNTIF(AE:AE,Table1[[#This Row],[County]])</f>
        <v>192</v>
      </c>
      <c r="AG409" s="12">
        <v>2025</v>
      </c>
    </row>
    <row r="410" spans="1:33" ht="15.5" x14ac:dyDescent="0.35">
      <c r="A410" s="12">
        <v>637</v>
      </c>
      <c r="B410" s="12" t="s">
        <v>151</v>
      </c>
      <c r="C410" s="12"/>
      <c r="D410" s="12"/>
      <c r="E410" s="12"/>
      <c r="F410" s="12"/>
      <c r="G410" s="12"/>
      <c r="H410" s="12" t="s">
        <v>380</v>
      </c>
      <c r="I410" s="12"/>
      <c r="J410" s="12"/>
      <c r="K410" s="10" t="s">
        <v>29</v>
      </c>
      <c r="L410" s="10" t="s">
        <v>384</v>
      </c>
      <c r="M410" s="10" t="s">
        <v>160</v>
      </c>
      <c r="N410" s="10"/>
      <c r="O410" s="12" t="s">
        <v>38</v>
      </c>
      <c r="P410" s="41">
        <v>650</v>
      </c>
      <c r="Q410" s="12" t="s">
        <v>281</v>
      </c>
      <c r="R410" s="12" t="s">
        <v>79</v>
      </c>
      <c r="S410" s="12" t="s">
        <v>391</v>
      </c>
      <c r="T410" s="12"/>
      <c r="U410" s="12"/>
      <c r="V410" s="12"/>
      <c r="W410" s="12"/>
      <c r="X410" s="12"/>
      <c r="Y410" s="12"/>
      <c r="Z410" s="12"/>
      <c r="AA410" s="12"/>
      <c r="AB410" s="12"/>
      <c r="AC410" s="12" t="str">
        <f>Table1[[#This Row],[City or Community (Santa Clara County)]]</f>
        <v>San Jose</v>
      </c>
      <c r="AD410" s="12">
        <f>COUNTIF(H:H,Table1[[#This Row],[City or Community (Santa Clara County)]])</f>
        <v>91</v>
      </c>
      <c r="AE410" s="12" t="str">
        <f>Table1[[#This Row],[Please select your county]]</f>
        <v>Santa Clara County</v>
      </c>
      <c r="AF410" s="41">
        <f>COUNTIF(AE:AE,Table1[[#This Row],[County]])</f>
        <v>192</v>
      </c>
      <c r="AG410" s="12">
        <v>2025</v>
      </c>
    </row>
    <row r="411" spans="1:33" ht="15.5" x14ac:dyDescent="0.35">
      <c r="A411" s="12">
        <v>681</v>
      </c>
      <c r="B411" s="12" t="s">
        <v>151</v>
      </c>
      <c r="C411" s="12"/>
      <c r="D411" s="12"/>
      <c r="E411" s="12"/>
      <c r="F411" s="12"/>
      <c r="G411" s="12"/>
      <c r="H411" s="12" t="s">
        <v>380</v>
      </c>
      <c r="I411" s="12"/>
      <c r="J411" s="12"/>
      <c r="K411" s="10" t="s">
        <v>29</v>
      </c>
      <c r="L411" s="10" t="s">
        <v>384</v>
      </c>
      <c r="M411" s="10" t="s">
        <v>160</v>
      </c>
      <c r="N411" s="10"/>
      <c r="O411" s="12" t="s">
        <v>38</v>
      </c>
      <c r="P411" s="41">
        <v>650</v>
      </c>
      <c r="Q411" s="12" t="s">
        <v>281</v>
      </c>
      <c r="R411" s="12" t="s">
        <v>79</v>
      </c>
      <c r="S411" s="12" t="s">
        <v>392</v>
      </c>
      <c r="T411" s="12"/>
      <c r="U411" s="12"/>
      <c r="V411" s="12"/>
      <c r="W411" s="12"/>
      <c r="X411" s="12"/>
      <c r="Y411" s="12"/>
      <c r="Z411" s="12"/>
      <c r="AA411" s="12"/>
      <c r="AB411" s="12"/>
      <c r="AC411" s="12" t="str">
        <f>Table1[[#This Row],[City or Community (Santa Clara County)]]</f>
        <v>San Jose</v>
      </c>
      <c r="AD411" s="12">
        <f>COUNTIF(H:H,Table1[[#This Row],[City or Community (Santa Clara County)]])</f>
        <v>91</v>
      </c>
      <c r="AE411" s="12" t="str">
        <f>Table1[[#This Row],[Please select your county]]</f>
        <v>Santa Clara County</v>
      </c>
      <c r="AF411" s="41">
        <f>COUNTIF(AE:AE,Table1[[#This Row],[County]])</f>
        <v>192</v>
      </c>
      <c r="AG411" s="12">
        <v>2025</v>
      </c>
    </row>
    <row r="412" spans="1:33" ht="15.5" x14ac:dyDescent="0.35">
      <c r="A412" s="12">
        <v>636</v>
      </c>
      <c r="B412" s="12" t="s">
        <v>151</v>
      </c>
      <c r="C412" s="12"/>
      <c r="D412" s="12"/>
      <c r="E412" s="12"/>
      <c r="F412" s="12"/>
      <c r="G412" s="12"/>
      <c r="H412" s="12" t="s">
        <v>380</v>
      </c>
      <c r="I412" s="12"/>
      <c r="J412" s="12"/>
      <c r="K412" s="10" t="s">
        <v>31</v>
      </c>
      <c r="L412" s="10" t="s">
        <v>384</v>
      </c>
      <c r="M412" s="10" t="s">
        <v>160</v>
      </c>
      <c r="N412" s="10"/>
      <c r="O412" s="12" t="s">
        <v>38</v>
      </c>
      <c r="P412" s="41">
        <v>655</v>
      </c>
      <c r="Q412" s="42">
        <v>2</v>
      </c>
      <c r="R412" s="12" t="s">
        <v>79</v>
      </c>
      <c r="S412" s="12" t="s">
        <v>394</v>
      </c>
      <c r="T412" s="12"/>
      <c r="U412" s="12"/>
      <c r="V412" s="12"/>
      <c r="W412" s="12"/>
      <c r="X412" s="12"/>
      <c r="Y412" s="12"/>
      <c r="Z412" s="12"/>
      <c r="AA412" s="12"/>
      <c r="AB412" s="12"/>
      <c r="AC412" s="12" t="str">
        <f>Table1[[#This Row],[City or Community (Santa Clara County)]]</f>
        <v>San Jose</v>
      </c>
      <c r="AD412" s="12">
        <f>COUNTIF(H:H,Table1[[#This Row],[City or Community (Santa Clara County)]])</f>
        <v>91</v>
      </c>
      <c r="AE412" s="12" t="str">
        <f>Table1[[#This Row],[Please select your county]]</f>
        <v>Santa Clara County</v>
      </c>
      <c r="AF412" s="41">
        <f>COUNTIF(AE:AE,Table1[[#This Row],[County]])</f>
        <v>192</v>
      </c>
      <c r="AG412" s="12">
        <v>2025</v>
      </c>
    </row>
    <row r="413" spans="1:33" ht="15.5" x14ac:dyDescent="0.35">
      <c r="A413" s="12">
        <v>624</v>
      </c>
      <c r="B413" s="12" t="s">
        <v>151</v>
      </c>
      <c r="C413" s="12"/>
      <c r="D413" s="12"/>
      <c r="E413" s="12"/>
      <c r="F413" s="12"/>
      <c r="G413" s="12"/>
      <c r="H413" s="12" t="s">
        <v>380</v>
      </c>
      <c r="I413" s="12"/>
      <c r="J413" s="12"/>
      <c r="K413" s="10" t="s">
        <v>31</v>
      </c>
      <c r="L413" s="10" t="s">
        <v>384</v>
      </c>
      <c r="M413" s="10" t="s">
        <v>159</v>
      </c>
      <c r="N413" s="10"/>
      <c r="O413" s="12" t="s">
        <v>38</v>
      </c>
      <c r="P413" s="41">
        <v>660</v>
      </c>
      <c r="Q413" s="12" t="s">
        <v>281</v>
      </c>
      <c r="R413" s="12" t="s">
        <v>79</v>
      </c>
      <c r="S413" s="12" t="s">
        <v>382</v>
      </c>
      <c r="T413" s="12"/>
      <c r="U413" s="12"/>
      <c r="V413" s="12"/>
      <c r="W413" s="12"/>
      <c r="X413" s="12"/>
      <c r="Y413" s="12"/>
      <c r="Z413" s="12"/>
      <c r="AA413" s="12"/>
      <c r="AB413" s="12"/>
      <c r="AC413" s="12" t="str">
        <f>Table1[[#This Row],[City or Community (Santa Clara County)]]</f>
        <v>San Jose</v>
      </c>
      <c r="AD413" s="12">
        <f>COUNTIF(H:H,Table1[[#This Row],[City or Community (Santa Clara County)]])</f>
        <v>91</v>
      </c>
      <c r="AE413" s="12" t="str">
        <f>Table1[[#This Row],[Please select your county]]</f>
        <v>Santa Clara County</v>
      </c>
      <c r="AF413" s="41">
        <f>COUNTIF(AE:AE,Table1[[#This Row],[County]])</f>
        <v>192</v>
      </c>
      <c r="AG413" s="12">
        <v>2025</v>
      </c>
    </row>
    <row r="414" spans="1:33" ht="15.5" x14ac:dyDescent="0.35">
      <c r="A414" s="12">
        <v>657</v>
      </c>
      <c r="B414" s="12" t="s">
        <v>151</v>
      </c>
      <c r="C414" s="12"/>
      <c r="D414" s="12"/>
      <c r="E414" s="12"/>
      <c r="F414" s="12"/>
      <c r="G414" s="12"/>
      <c r="H414" s="12" t="s">
        <v>380</v>
      </c>
      <c r="I414" s="12"/>
      <c r="J414" s="12"/>
      <c r="K414" s="10" t="s">
        <v>29</v>
      </c>
      <c r="L414" s="10" t="s">
        <v>381</v>
      </c>
      <c r="M414" s="10" t="s">
        <v>160</v>
      </c>
      <c r="N414" s="10"/>
      <c r="O414" s="12" t="s">
        <v>38</v>
      </c>
      <c r="P414" s="41">
        <v>670</v>
      </c>
      <c r="Q414" s="12" t="s">
        <v>271</v>
      </c>
      <c r="R414" s="12" t="s">
        <v>67</v>
      </c>
      <c r="S414" s="12" t="s">
        <v>83</v>
      </c>
      <c r="T414" s="12"/>
      <c r="U414" s="12"/>
      <c r="V414" s="12"/>
      <c r="W414" s="12"/>
      <c r="X414" s="12"/>
      <c r="Y414" s="12"/>
      <c r="Z414" s="12"/>
      <c r="AA414" s="12"/>
      <c r="AB414" s="12"/>
      <c r="AC414" s="12" t="str">
        <f>Table1[[#This Row],[City or Community (Santa Clara County)]]</f>
        <v>San Jose</v>
      </c>
      <c r="AD414" s="12">
        <f>COUNTIF(H:H,Table1[[#This Row],[City or Community (Santa Clara County)]])</f>
        <v>91</v>
      </c>
      <c r="AE414" s="12" t="str">
        <f>Table1[[#This Row],[Please select your county]]</f>
        <v>Santa Clara County</v>
      </c>
      <c r="AF414" s="41">
        <f>COUNTIF(AE:AE,Table1[[#This Row],[County]])</f>
        <v>192</v>
      </c>
      <c r="AG414" s="12">
        <v>2025</v>
      </c>
    </row>
    <row r="415" spans="1:33" ht="15.5" x14ac:dyDescent="0.35">
      <c r="A415" s="12">
        <v>632</v>
      </c>
      <c r="B415" s="12" t="s">
        <v>151</v>
      </c>
      <c r="C415" s="12"/>
      <c r="D415" s="12"/>
      <c r="E415" s="12"/>
      <c r="F415" s="12"/>
      <c r="G415" s="12"/>
      <c r="H415" s="12" t="s">
        <v>380</v>
      </c>
      <c r="I415" s="12"/>
      <c r="J415" s="12"/>
      <c r="K415" s="10" t="s">
        <v>273</v>
      </c>
      <c r="L415" s="10" t="s">
        <v>381</v>
      </c>
      <c r="M415" s="10" t="s">
        <v>160</v>
      </c>
      <c r="N415" s="10"/>
      <c r="O415" s="10" t="s">
        <v>39</v>
      </c>
      <c r="P415" s="41">
        <v>697</v>
      </c>
      <c r="Q415" s="12" t="s">
        <v>271</v>
      </c>
      <c r="R415" s="12" t="s">
        <v>76</v>
      </c>
      <c r="S415" s="12" t="s">
        <v>382</v>
      </c>
      <c r="T415" s="12"/>
      <c r="U415" s="12"/>
      <c r="V415" s="12"/>
      <c r="W415" s="12"/>
      <c r="X415" s="12"/>
      <c r="Y415" s="12"/>
      <c r="Z415" s="12"/>
      <c r="AA415" s="12"/>
      <c r="AB415" s="12"/>
      <c r="AC415" s="12" t="str">
        <f>Table1[[#This Row],[City or Community (Santa Clara County)]]</f>
        <v>San Jose</v>
      </c>
      <c r="AD415" s="12">
        <f>COUNTIF(H:H,Table1[[#This Row],[City or Community (Santa Clara County)]])</f>
        <v>91</v>
      </c>
      <c r="AE415" s="12" t="str">
        <f>Table1[[#This Row],[Please select your county]]</f>
        <v>Santa Clara County</v>
      </c>
      <c r="AF415" s="41">
        <f>COUNTIF(AE:AE,Table1[[#This Row],[County]])</f>
        <v>192</v>
      </c>
      <c r="AG415" s="12">
        <v>2025</v>
      </c>
    </row>
    <row r="416" spans="1:33" ht="15.5" x14ac:dyDescent="0.35">
      <c r="A416" s="12">
        <v>688</v>
      </c>
      <c r="B416" s="12" t="s">
        <v>151</v>
      </c>
      <c r="C416" s="12"/>
      <c r="D416" s="12"/>
      <c r="E416" s="12"/>
      <c r="F416" s="12"/>
      <c r="G416" s="12"/>
      <c r="H416" s="12" t="s">
        <v>380</v>
      </c>
      <c r="I416" s="12"/>
      <c r="J416" s="12"/>
      <c r="K416" s="10" t="s">
        <v>29</v>
      </c>
      <c r="L416" s="10" t="s">
        <v>381</v>
      </c>
      <c r="M416" s="10" t="s">
        <v>382</v>
      </c>
      <c r="N416" s="10"/>
      <c r="O416" s="12" t="s">
        <v>38</v>
      </c>
      <c r="P416" s="41">
        <v>700</v>
      </c>
      <c r="Q416" s="12" t="s">
        <v>271</v>
      </c>
      <c r="R416" s="12" t="s">
        <v>67</v>
      </c>
      <c r="S416" s="12" t="s">
        <v>387</v>
      </c>
      <c r="T416" s="12"/>
      <c r="U416" s="12"/>
      <c r="V416" s="12"/>
      <c r="W416" s="12"/>
      <c r="X416" s="12"/>
      <c r="Y416" s="12"/>
      <c r="Z416" s="12"/>
      <c r="AA416" s="12"/>
      <c r="AB416" s="12"/>
      <c r="AC416" s="12" t="str">
        <f>Table1[[#This Row],[City or Community (Santa Clara County)]]</f>
        <v>San Jose</v>
      </c>
      <c r="AD416" s="12">
        <f>COUNTIF(H:H,Table1[[#This Row],[City or Community (Santa Clara County)]])</f>
        <v>91</v>
      </c>
      <c r="AE416" s="12" t="str">
        <f>Table1[[#This Row],[Please select your county]]</f>
        <v>Santa Clara County</v>
      </c>
      <c r="AF416" s="41">
        <f>COUNTIF(AE:AE,Table1[[#This Row],[County]])</f>
        <v>192</v>
      </c>
      <c r="AG416" s="12">
        <v>2025</v>
      </c>
    </row>
    <row r="417" spans="1:33" ht="15.5" x14ac:dyDescent="0.35">
      <c r="A417" s="12">
        <v>631</v>
      </c>
      <c r="B417" s="12" t="s">
        <v>151</v>
      </c>
      <c r="C417" s="12"/>
      <c r="D417" s="12"/>
      <c r="E417" s="12"/>
      <c r="F417" s="12"/>
      <c r="G417" s="12"/>
      <c r="H417" s="12" t="s">
        <v>380</v>
      </c>
      <c r="I417" s="12"/>
      <c r="J417" s="12"/>
      <c r="K417" s="10" t="s">
        <v>29</v>
      </c>
      <c r="L417" s="10" t="s">
        <v>384</v>
      </c>
      <c r="M417" s="10" t="s">
        <v>160</v>
      </c>
      <c r="N417" s="10"/>
      <c r="O417" s="12" t="s">
        <v>38</v>
      </c>
      <c r="P417" s="41">
        <v>700</v>
      </c>
      <c r="Q417" s="12" t="s">
        <v>281</v>
      </c>
      <c r="R417" s="12" t="s">
        <v>79</v>
      </c>
      <c r="S417" s="12" t="s">
        <v>382</v>
      </c>
      <c r="T417" s="12"/>
      <c r="U417" s="12"/>
      <c r="V417" s="12"/>
      <c r="W417" s="12"/>
      <c r="X417" s="12"/>
      <c r="Y417" s="12"/>
      <c r="Z417" s="12"/>
      <c r="AA417" s="12"/>
      <c r="AB417" s="12"/>
      <c r="AC417" s="12" t="str">
        <f>Table1[[#This Row],[City or Community (Santa Clara County)]]</f>
        <v>San Jose</v>
      </c>
      <c r="AD417" s="12">
        <f>COUNTIF(H:H,Table1[[#This Row],[City or Community (Santa Clara County)]])</f>
        <v>91</v>
      </c>
      <c r="AE417" s="12" t="str">
        <f>Table1[[#This Row],[Please select your county]]</f>
        <v>Santa Clara County</v>
      </c>
      <c r="AF417" s="41">
        <f>COUNTIF(AE:AE,Table1[[#This Row],[County]])</f>
        <v>192</v>
      </c>
      <c r="AG417" s="12">
        <v>2025</v>
      </c>
    </row>
    <row r="418" spans="1:33" ht="15.5" x14ac:dyDescent="0.35">
      <c r="A418" s="12">
        <v>690</v>
      </c>
      <c r="B418" s="12" t="s">
        <v>151</v>
      </c>
      <c r="C418" s="12"/>
      <c r="D418" s="12"/>
      <c r="E418" s="12"/>
      <c r="F418" s="12"/>
      <c r="G418" s="12"/>
      <c r="H418" s="12" t="s">
        <v>380</v>
      </c>
      <c r="I418" s="12"/>
      <c r="J418" s="12"/>
      <c r="K418" s="10" t="s">
        <v>29</v>
      </c>
      <c r="L418" s="10" t="s">
        <v>381</v>
      </c>
      <c r="M418" s="10" t="s">
        <v>160</v>
      </c>
      <c r="N418" s="10"/>
      <c r="O418" s="12" t="s">
        <v>38</v>
      </c>
      <c r="P418" s="41">
        <v>700</v>
      </c>
      <c r="Q418" s="12" t="s">
        <v>281</v>
      </c>
      <c r="R418" s="12" t="s">
        <v>79</v>
      </c>
      <c r="S418" s="12" t="s">
        <v>382</v>
      </c>
      <c r="T418" s="12"/>
      <c r="U418" s="12"/>
      <c r="V418" s="12"/>
      <c r="W418" s="12"/>
      <c r="X418" s="12"/>
      <c r="Y418" s="12"/>
      <c r="Z418" s="12"/>
      <c r="AA418" s="12"/>
      <c r="AB418" s="12"/>
      <c r="AC418" s="12" t="str">
        <f>Table1[[#This Row],[City or Community (Santa Clara County)]]</f>
        <v>San Jose</v>
      </c>
      <c r="AD418" s="12">
        <f>COUNTIF(H:H,Table1[[#This Row],[City or Community (Santa Clara County)]])</f>
        <v>91</v>
      </c>
      <c r="AE418" s="12" t="str">
        <f>Table1[[#This Row],[Please select your county]]</f>
        <v>Santa Clara County</v>
      </c>
      <c r="AF418" s="41">
        <f>COUNTIF(AE:AE,Table1[[#This Row],[County]])</f>
        <v>192</v>
      </c>
      <c r="AG418" s="12">
        <v>2025</v>
      </c>
    </row>
    <row r="419" spans="1:33" ht="15.5" x14ac:dyDescent="0.35">
      <c r="A419" s="12">
        <v>662</v>
      </c>
      <c r="B419" s="12" t="s">
        <v>151</v>
      </c>
      <c r="C419" s="12"/>
      <c r="D419" s="12"/>
      <c r="E419" s="12"/>
      <c r="F419" s="12"/>
      <c r="G419" s="12"/>
      <c r="H419" s="12" t="s">
        <v>380</v>
      </c>
      <c r="I419" s="12"/>
      <c r="J419" s="12"/>
      <c r="K419" s="10" t="s">
        <v>31</v>
      </c>
      <c r="L419" s="10" t="s">
        <v>384</v>
      </c>
      <c r="M419" s="10" t="s">
        <v>160</v>
      </c>
      <c r="N419" s="10"/>
      <c r="O419" s="12" t="s">
        <v>38</v>
      </c>
      <c r="P419" s="41">
        <v>700</v>
      </c>
      <c r="Q419" s="12" t="s">
        <v>281</v>
      </c>
      <c r="R419" s="12" t="s">
        <v>79</v>
      </c>
      <c r="S419" s="12" t="s">
        <v>382</v>
      </c>
      <c r="T419" s="12"/>
      <c r="U419" s="12"/>
      <c r="V419" s="12"/>
      <c r="W419" s="12"/>
      <c r="X419" s="12"/>
      <c r="Y419" s="12"/>
      <c r="Z419" s="12"/>
      <c r="AA419" s="12"/>
      <c r="AB419" s="12"/>
      <c r="AC419" s="12" t="str">
        <f>Table1[[#This Row],[City or Community (Santa Clara County)]]</f>
        <v>San Jose</v>
      </c>
      <c r="AD419" s="12">
        <f>COUNTIF(H:H,Table1[[#This Row],[City or Community (Santa Clara County)]])</f>
        <v>91</v>
      </c>
      <c r="AE419" s="12" t="str">
        <f>Table1[[#This Row],[Please select your county]]</f>
        <v>Santa Clara County</v>
      </c>
      <c r="AF419" s="41">
        <f>COUNTIF(AE:AE,Table1[[#This Row],[County]])</f>
        <v>192</v>
      </c>
      <c r="AG419" s="12">
        <v>2025</v>
      </c>
    </row>
    <row r="420" spans="1:33" ht="15.5" x14ac:dyDescent="0.35">
      <c r="A420" s="12">
        <v>667</v>
      </c>
      <c r="B420" s="12" t="s">
        <v>151</v>
      </c>
      <c r="C420" s="12"/>
      <c r="D420" s="12"/>
      <c r="E420" s="12"/>
      <c r="F420" s="12"/>
      <c r="G420" s="12"/>
      <c r="H420" s="12" t="s">
        <v>380</v>
      </c>
      <c r="I420" s="12"/>
      <c r="J420" s="12"/>
      <c r="K420" s="10" t="s">
        <v>29</v>
      </c>
      <c r="L420" s="10" t="s">
        <v>384</v>
      </c>
      <c r="M420" s="10" t="s">
        <v>160</v>
      </c>
      <c r="N420" s="10"/>
      <c r="O420" s="12" t="s">
        <v>38</v>
      </c>
      <c r="P420" s="41">
        <v>721</v>
      </c>
      <c r="Q420" s="42">
        <v>2</v>
      </c>
      <c r="R420" s="12" t="s">
        <v>79</v>
      </c>
      <c r="S420" s="12" t="s">
        <v>382</v>
      </c>
      <c r="T420" s="12"/>
      <c r="U420" s="12"/>
      <c r="V420" s="12"/>
      <c r="W420" s="12"/>
      <c r="X420" s="12"/>
      <c r="Y420" s="12"/>
      <c r="Z420" s="12"/>
      <c r="AA420" s="12"/>
      <c r="AB420" s="12"/>
      <c r="AC420" s="12" t="str">
        <f>Table1[[#This Row],[City or Community (Santa Clara County)]]</f>
        <v>San Jose</v>
      </c>
      <c r="AD420" s="12">
        <f>COUNTIF(H:H,Table1[[#This Row],[City or Community (Santa Clara County)]])</f>
        <v>91</v>
      </c>
      <c r="AE420" s="12" t="str">
        <f>Table1[[#This Row],[Please select your county]]</f>
        <v>Santa Clara County</v>
      </c>
      <c r="AF420" s="41">
        <f>COUNTIF(AE:AE,Table1[[#This Row],[County]])</f>
        <v>192</v>
      </c>
      <c r="AG420" s="12">
        <v>2025</v>
      </c>
    </row>
    <row r="421" spans="1:33" ht="15.5" x14ac:dyDescent="0.35">
      <c r="A421" s="12">
        <v>652</v>
      </c>
      <c r="B421" s="12" t="s">
        <v>151</v>
      </c>
      <c r="C421" s="12"/>
      <c r="D421" s="12"/>
      <c r="E421" s="12"/>
      <c r="F421" s="12"/>
      <c r="G421" s="12"/>
      <c r="H421" s="12" t="s">
        <v>380</v>
      </c>
      <c r="I421" s="12"/>
      <c r="J421" s="12"/>
      <c r="K421" s="10" t="s">
        <v>29</v>
      </c>
      <c r="L421" s="10" t="s">
        <v>384</v>
      </c>
      <c r="M421" s="10" t="s">
        <v>159</v>
      </c>
      <c r="N421" s="10"/>
      <c r="O421" s="12" t="s">
        <v>38</v>
      </c>
      <c r="P421" s="41">
        <v>724</v>
      </c>
      <c r="Q421" s="42">
        <v>2</v>
      </c>
      <c r="R421" s="12" t="s">
        <v>79</v>
      </c>
      <c r="S421" s="12" t="s">
        <v>387</v>
      </c>
      <c r="T421" s="12"/>
      <c r="U421" s="12"/>
      <c r="V421" s="12"/>
      <c r="W421" s="12"/>
      <c r="X421" s="12"/>
      <c r="Y421" s="12"/>
      <c r="Z421" s="12"/>
      <c r="AA421" s="12"/>
      <c r="AB421" s="12"/>
      <c r="AC421" s="12" t="str">
        <f>Table1[[#This Row],[City or Community (Santa Clara County)]]</f>
        <v>San Jose</v>
      </c>
      <c r="AD421" s="12">
        <f>COUNTIF(H:H,Table1[[#This Row],[City or Community (Santa Clara County)]])</f>
        <v>91</v>
      </c>
      <c r="AE421" s="12" t="str">
        <f>Table1[[#This Row],[Please select your county]]</f>
        <v>Santa Clara County</v>
      </c>
      <c r="AF421" s="41">
        <f>COUNTIF(AE:AE,Table1[[#This Row],[County]])</f>
        <v>192</v>
      </c>
      <c r="AG421" s="12">
        <v>2025</v>
      </c>
    </row>
    <row r="422" spans="1:33" ht="15.5" x14ac:dyDescent="0.35">
      <c r="A422" s="12">
        <v>612</v>
      </c>
      <c r="B422" s="12" t="s">
        <v>151</v>
      </c>
      <c r="C422" s="12"/>
      <c r="D422" s="12"/>
      <c r="E422" s="12"/>
      <c r="F422" s="12"/>
      <c r="G422" s="12"/>
      <c r="H422" s="12" t="s">
        <v>380</v>
      </c>
      <c r="I422" s="12"/>
      <c r="J422" s="12"/>
      <c r="K422" s="10" t="s">
        <v>386</v>
      </c>
      <c r="L422" s="10" t="s">
        <v>384</v>
      </c>
      <c r="M422" s="10" t="s">
        <v>160</v>
      </c>
      <c r="N422" s="10"/>
      <c r="O422" s="12" t="s">
        <v>38</v>
      </c>
      <c r="P422" s="41">
        <v>728</v>
      </c>
      <c r="Q422" s="42">
        <v>2</v>
      </c>
      <c r="R422" t="s">
        <v>71</v>
      </c>
      <c r="S422" s="12" t="s">
        <v>394</v>
      </c>
      <c r="T422" s="12"/>
      <c r="U422" s="12"/>
      <c r="V422" s="12"/>
      <c r="W422" s="12"/>
      <c r="X422" s="12"/>
      <c r="Y422" s="12"/>
      <c r="Z422" s="12"/>
      <c r="AA422" s="12"/>
      <c r="AB422" s="12"/>
      <c r="AC422" s="12" t="str">
        <f>Table1[[#This Row],[City or Community (Santa Clara County)]]</f>
        <v>San Jose</v>
      </c>
      <c r="AD422" s="12">
        <f>COUNTIF(H:H,Table1[[#This Row],[City or Community (Santa Clara County)]])</f>
        <v>91</v>
      </c>
      <c r="AE422" s="12" t="str">
        <f>Table1[[#This Row],[Please select your county]]</f>
        <v>Santa Clara County</v>
      </c>
      <c r="AF422" s="41">
        <f>COUNTIF(AE:AE,Table1[[#This Row],[County]])</f>
        <v>192</v>
      </c>
      <c r="AG422" s="12">
        <v>2025</v>
      </c>
    </row>
    <row r="423" spans="1:33" ht="15.5" x14ac:dyDescent="0.35">
      <c r="A423" s="12">
        <v>654</v>
      </c>
      <c r="B423" s="12" t="s">
        <v>151</v>
      </c>
      <c r="C423" s="12"/>
      <c r="D423" s="12"/>
      <c r="E423" s="12"/>
      <c r="F423" s="12"/>
      <c r="G423" s="12"/>
      <c r="H423" s="12" t="s">
        <v>380</v>
      </c>
      <c r="I423" s="12"/>
      <c r="J423" s="12"/>
      <c r="K423" s="10" t="s">
        <v>386</v>
      </c>
      <c r="L423" s="10" t="s">
        <v>384</v>
      </c>
      <c r="M423" s="10" t="s">
        <v>160</v>
      </c>
      <c r="N423" s="10"/>
      <c r="O423" s="12" t="s">
        <v>38</v>
      </c>
      <c r="P423" s="41">
        <v>740</v>
      </c>
      <c r="Q423" s="42">
        <v>2</v>
      </c>
      <c r="R423" s="12" t="s">
        <v>79</v>
      </c>
      <c r="S423" s="12" t="s">
        <v>382</v>
      </c>
      <c r="T423" s="12"/>
      <c r="U423" s="12"/>
      <c r="V423" s="12"/>
      <c r="W423" s="12"/>
      <c r="X423" s="12"/>
      <c r="Y423" s="12"/>
      <c r="Z423" s="12"/>
      <c r="AA423" s="12"/>
      <c r="AB423" s="12"/>
      <c r="AC423" s="12" t="str">
        <f>Table1[[#This Row],[City or Community (Santa Clara County)]]</f>
        <v>San Jose</v>
      </c>
      <c r="AD423" s="12">
        <f>COUNTIF(H:H,Table1[[#This Row],[City or Community (Santa Clara County)]])</f>
        <v>91</v>
      </c>
      <c r="AE423" s="12" t="str">
        <f>Table1[[#This Row],[Please select your county]]</f>
        <v>Santa Clara County</v>
      </c>
      <c r="AF423" s="41">
        <f>COUNTIF(AE:AE,Table1[[#This Row],[County]])</f>
        <v>192</v>
      </c>
      <c r="AG423" s="12">
        <v>2025</v>
      </c>
    </row>
    <row r="424" spans="1:33" ht="15.5" x14ac:dyDescent="0.35">
      <c r="A424" s="12">
        <v>608</v>
      </c>
      <c r="B424" s="12" t="s">
        <v>151</v>
      </c>
      <c r="C424" s="12"/>
      <c r="D424" s="12"/>
      <c r="E424" s="12"/>
      <c r="F424" s="12"/>
      <c r="G424" s="12"/>
      <c r="H424" s="12" t="s">
        <v>380</v>
      </c>
      <c r="I424" s="12"/>
      <c r="J424" s="12"/>
      <c r="K424" s="10" t="s">
        <v>29</v>
      </c>
      <c r="L424" s="10" t="s">
        <v>384</v>
      </c>
      <c r="M424" s="10" t="s">
        <v>160</v>
      </c>
      <c r="N424" s="10"/>
      <c r="O424" s="12" t="s">
        <v>38</v>
      </c>
      <c r="P424" s="41">
        <v>746</v>
      </c>
      <c r="Q424" s="42">
        <v>2</v>
      </c>
      <c r="R424" t="s">
        <v>71</v>
      </c>
      <c r="S424" s="12" t="s">
        <v>394</v>
      </c>
      <c r="T424" s="12"/>
      <c r="U424" s="12"/>
      <c r="V424" s="12"/>
      <c r="W424" s="12"/>
      <c r="X424" s="12"/>
      <c r="Y424" s="12"/>
      <c r="Z424" s="12"/>
      <c r="AA424" s="12"/>
      <c r="AB424" s="12"/>
      <c r="AC424" s="12" t="str">
        <f>Table1[[#This Row],[City or Community (Santa Clara County)]]</f>
        <v>San Jose</v>
      </c>
      <c r="AD424" s="12">
        <f>COUNTIF(H:H,Table1[[#This Row],[City or Community (Santa Clara County)]])</f>
        <v>91</v>
      </c>
      <c r="AE424" s="12" t="str">
        <f>Table1[[#This Row],[Please select your county]]</f>
        <v>Santa Clara County</v>
      </c>
      <c r="AF424" s="41">
        <f>COUNTIF(AE:AE,Table1[[#This Row],[County]])</f>
        <v>192</v>
      </c>
      <c r="AG424" s="12">
        <v>2025</v>
      </c>
    </row>
    <row r="425" spans="1:33" ht="15.5" x14ac:dyDescent="0.35">
      <c r="A425" s="12">
        <v>697</v>
      </c>
      <c r="B425" s="12" t="s">
        <v>151</v>
      </c>
      <c r="C425" s="12"/>
      <c r="D425" s="12"/>
      <c r="E425" s="12"/>
      <c r="F425" s="12"/>
      <c r="G425" s="12"/>
      <c r="H425" s="12" t="s">
        <v>380</v>
      </c>
      <c r="I425" s="12"/>
      <c r="J425" s="12"/>
      <c r="K425" s="10" t="s">
        <v>386</v>
      </c>
      <c r="L425" s="10" t="s">
        <v>384</v>
      </c>
      <c r="M425" s="10" t="s">
        <v>382</v>
      </c>
      <c r="N425" s="10"/>
      <c r="O425" s="12" t="s">
        <v>38</v>
      </c>
      <c r="P425" s="41">
        <v>746</v>
      </c>
      <c r="Q425" s="42">
        <v>2</v>
      </c>
      <c r="R425" s="12" t="s">
        <v>79</v>
      </c>
      <c r="S425" s="12" t="s">
        <v>83</v>
      </c>
      <c r="T425" s="12"/>
      <c r="U425" s="12"/>
      <c r="V425" s="12"/>
      <c r="W425" s="12"/>
      <c r="X425" s="12"/>
      <c r="Y425" s="12"/>
      <c r="Z425" s="12"/>
      <c r="AA425" s="12"/>
      <c r="AB425" s="12"/>
      <c r="AC425" s="12" t="str">
        <f>Table1[[#This Row],[City or Community (Santa Clara County)]]</f>
        <v>San Jose</v>
      </c>
      <c r="AD425" s="12">
        <f>COUNTIF(H:H,Table1[[#This Row],[City or Community (Santa Clara County)]])</f>
        <v>91</v>
      </c>
      <c r="AE425" s="12" t="str">
        <f>Table1[[#This Row],[Please select your county]]</f>
        <v>Santa Clara County</v>
      </c>
      <c r="AF425" s="41">
        <f>COUNTIF(AE:AE,Table1[[#This Row],[County]])</f>
        <v>192</v>
      </c>
      <c r="AG425" s="12">
        <v>2025</v>
      </c>
    </row>
    <row r="426" spans="1:33" ht="15.5" x14ac:dyDescent="0.35">
      <c r="A426" s="12">
        <v>644</v>
      </c>
      <c r="B426" s="12" t="s">
        <v>151</v>
      </c>
      <c r="C426" s="12"/>
      <c r="D426" s="12"/>
      <c r="E426" s="12"/>
      <c r="F426" s="12"/>
      <c r="G426" s="12"/>
      <c r="H426" s="12" t="s">
        <v>380</v>
      </c>
      <c r="I426" s="12"/>
      <c r="J426" s="12"/>
      <c r="K426" s="10" t="s">
        <v>29</v>
      </c>
      <c r="L426" s="10" t="s">
        <v>384</v>
      </c>
      <c r="M426" s="10" t="s">
        <v>160</v>
      </c>
      <c r="N426" s="10"/>
      <c r="O426" s="12" t="s">
        <v>38</v>
      </c>
      <c r="P426" s="41">
        <v>749</v>
      </c>
      <c r="Q426" s="42">
        <v>2</v>
      </c>
      <c r="R426" s="12" t="s">
        <v>79</v>
      </c>
      <c r="S426" s="12" t="s">
        <v>391</v>
      </c>
      <c r="T426" s="12"/>
      <c r="U426" s="12"/>
      <c r="V426" s="12"/>
      <c r="W426" s="12"/>
      <c r="X426" s="12"/>
      <c r="Y426" s="12"/>
      <c r="Z426" s="12"/>
      <c r="AA426" s="12"/>
      <c r="AB426" s="12"/>
      <c r="AC426" s="12" t="str">
        <f>Table1[[#This Row],[City or Community (Santa Clara County)]]</f>
        <v>San Jose</v>
      </c>
      <c r="AD426" s="12">
        <f>COUNTIF(H:H,Table1[[#This Row],[City or Community (Santa Clara County)]])</f>
        <v>91</v>
      </c>
      <c r="AE426" s="12" t="str">
        <f>Table1[[#This Row],[Please select your county]]</f>
        <v>Santa Clara County</v>
      </c>
      <c r="AF426" s="41">
        <f>COUNTIF(AE:AE,Table1[[#This Row],[County]])</f>
        <v>192</v>
      </c>
      <c r="AG426" s="12">
        <v>2025</v>
      </c>
    </row>
    <row r="427" spans="1:33" ht="15.5" x14ac:dyDescent="0.35">
      <c r="A427" s="12">
        <v>609</v>
      </c>
      <c r="B427" s="12" t="s">
        <v>151</v>
      </c>
      <c r="C427" s="12"/>
      <c r="D427" s="12"/>
      <c r="E427" s="12"/>
      <c r="F427" s="12"/>
      <c r="G427" s="12"/>
      <c r="H427" s="12" t="s">
        <v>380</v>
      </c>
      <c r="I427" s="12"/>
      <c r="J427" s="12"/>
      <c r="K427" s="10" t="s">
        <v>386</v>
      </c>
      <c r="L427" s="10" t="s">
        <v>384</v>
      </c>
      <c r="M427" s="10" t="s">
        <v>160</v>
      </c>
      <c r="N427" s="10"/>
      <c r="O427" s="12" t="s">
        <v>38</v>
      </c>
      <c r="P427" s="41">
        <v>749</v>
      </c>
      <c r="Q427" s="42">
        <v>2</v>
      </c>
      <c r="R427" t="s">
        <v>71</v>
      </c>
      <c r="S427" s="12" t="s">
        <v>387</v>
      </c>
      <c r="T427" s="12"/>
      <c r="U427" s="12"/>
      <c r="V427" s="12"/>
      <c r="W427" s="12"/>
      <c r="X427" s="12"/>
      <c r="Y427" s="12"/>
      <c r="Z427" s="12"/>
      <c r="AA427" s="12"/>
      <c r="AB427" s="12"/>
      <c r="AC427" s="12" t="str">
        <f>Table1[[#This Row],[City or Community (Santa Clara County)]]</f>
        <v>San Jose</v>
      </c>
      <c r="AD427" s="12">
        <f>COUNTIF(H:H,Table1[[#This Row],[City or Community (Santa Clara County)]])</f>
        <v>91</v>
      </c>
      <c r="AE427" s="12" t="str">
        <f>Table1[[#This Row],[Please select your county]]</f>
        <v>Santa Clara County</v>
      </c>
      <c r="AF427" s="41">
        <f>COUNTIF(AE:AE,Table1[[#This Row],[County]])</f>
        <v>192</v>
      </c>
      <c r="AG427" s="12">
        <v>2025</v>
      </c>
    </row>
    <row r="428" spans="1:33" ht="15.5" x14ac:dyDescent="0.35">
      <c r="A428" s="12">
        <v>680</v>
      </c>
      <c r="B428" s="12" t="s">
        <v>151</v>
      </c>
      <c r="C428" s="12"/>
      <c r="D428" s="12"/>
      <c r="E428" s="12"/>
      <c r="F428" s="12"/>
      <c r="G428" s="12"/>
      <c r="H428" s="12" t="s">
        <v>380</v>
      </c>
      <c r="I428" s="12"/>
      <c r="J428" s="12"/>
      <c r="K428" s="10" t="s">
        <v>29</v>
      </c>
      <c r="L428" s="10" t="s">
        <v>384</v>
      </c>
      <c r="M428" s="10" t="s">
        <v>382</v>
      </c>
      <c r="N428" s="10"/>
      <c r="O428" s="12" t="s">
        <v>38</v>
      </c>
      <c r="P428" s="41">
        <v>750</v>
      </c>
      <c r="Q428" s="42">
        <v>2</v>
      </c>
      <c r="R428" t="s">
        <v>69</v>
      </c>
      <c r="S428" s="12" t="s">
        <v>395</v>
      </c>
      <c r="T428" s="12"/>
      <c r="U428" s="12"/>
      <c r="V428" s="12"/>
      <c r="W428" s="12"/>
      <c r="X428" s="12"/>
      <c r="Y428" s="12"/>
      <c r="Z428" s="12"/>
      <c r="AA428" s="12"/>
      <c r="AB428" s="12"/>
      <c r="AC428" s="12" t="str">
        <f>Table1[[#This Row],[City or Community (Santa Clara County)]]</f>
        <v>San Jose</v>
      </c>
      <c r="AD428" s="12">
        <f>COUNTIF(H:H,Table1[[#This Row],[City or Community (Santa Clara County)]])</f>
        <v>91</v>
      </c>
      <c r="AE428" s="12" t="str">
        <f>Table1[[#This Row],[Please select your county]]</f>
        <v>Santa Clara County</v>
      </c>
      <c r="AF428" s="41">
        <f>COUNTIF(AE:AE,Table1[[#This Row],[County]])</f>
        <v>192</v>
      </c>
      <c r="AG428" s="12">
        <v>2025</v>
      </c>
    </row>
    <row r="429" spans="1:33" ht="15.5" x14ac:dyDescent="0.35">
      <c r="A429" s="12">
        <v>670</v>
      </c>
      <c r="B429" s="12" t="s">
        <v>151</v>
      </c>
      <c r="C429" s="12"/>
      <c r="D429" s="12"/>
      <c r="E429" s="12"/>
      <c r="F429" s="12"/>
      <c r="G429" s="12"/>
      <c r="H429" s="12" t="s">
        <v>380</v>
      </c>
      <c r="I429" s="12"/>
      <c r="J429" s="12"/>
      <c r="K429" s="10" t="s">
        <v>29</v>
      </c>
      <c r="L429" s="10" t="s">
        <v>384</v>
      </c>
      <c r="M429" s="10" t="s">
        <v>160</v>
      </c>
      <c r="N429" s="10"/>
      <c r="O429" s="12" t="s">
        <v>38</v>
      </c>
      <c r="P429" s="41">
        <v>750</v>
      </c>
      <c r="Q429" s="12" t="s">
        <v>281</v>
      </c>
      <c r="R429" s="12" t="s">
        <v>79</v>
      </c>
      <c r="S429" s="12" t="s">
        <v>382</v>
      </c>
      <c r="T429" s="12"/>
      <c r="U429" s="12"/>
      <c r="V429" s="12"/>
      <c r="W429" s="12"/>
      <c r="X429" s="12"/>
      <c r="Y429" s="12"/>
      <c r="Z429" s="12"/>
      <c r="AA429" s="12"/>
      <c r="AB429" s="12"/>
      <c r="AC429" s="12" t="str">
        <f>Table1[[#This Row],[City or Community (Santa Clara County)]]</f>
        <v>San Jose</v>
      </c>
      <c r="AD429" s="12">
        <f>COUNTIF(H:H,Table1[[#This Row],[City or Community (Santa Clara County)]])</f>
        <v>91</v>
      </c>
      <c r="AE429" s="12" t="str">
        <f>Table1[[#This Row],[Please select your county]]</f>
        <v>Santa Clara County</v>
      </c>
      <c r="AF429" s="41">
        <f>COUNTIF(AE:AE,Table1[[#This Row],[County]])</f>
        <v>192</v>
      </c>
      <c r="AG429" s="12">
        <v>2025</v>
      </c>
    </row>
    <row r="430" spans="1:33" ht="15.5" x14ac:dyDescent="0.35">
      <c r="A430" s="12">
        <v>663</v>
      </c>
      <c r="B430" s="12" t="s">
        <v>151</v>
      </c>
      <c r="C430" s="12"/>
      <c r="D430" s="12"/>
      <c r="E430" s="12"/>
      <c r="F430" s="12"/>
      <c r="G430" s="12"/>
      <c r="H430" s="12" t="s">
        <v>380</v>
      </c>
      <c r="I430" s="12"/>
      <c r="J430" s="12"/>
      <c r="K430" s="10" t="s">
        <v>31</v>
      </c>
      <c r="L430" s="10" t="s">
        <v>384</v>
      </c>
      <c r="M430" s="10" t="s">
        <v>160</v>
      </c>
      <c r="N430" s="10"/>
      <c r="O430" s="12" t="s">
        <v>38</v>
      </c>
      <c r="P430" s="41">
        <v>750</v>
      </c>
      <c r="Q430" s="42">
        <v>2</v>
      </c>
      <c r="R430" s="12" t="s">
        <v>79</v>
      </c>
      <c r="S430" s="12" t="s">
        <v>387</v>
      </c>
      <c r="T430" s="12"/>
      <c r="U430" s="12"/>
      <c r="V430" s="12"/>
      <c r="W430" s="12"/>
      <c r="X430" s="12"/>
      <c r="Y430" s="12"/>
      <c r="Z430" s="12"/>
      <c r="AA430" s="12"/>
      <c r="AB430" s="12"/>
      <c r="AC430" s="12" t="str">
        <f>Table1[[#This Row],[City or Community (Santa Clara County)]]</f>
        <v>San Jose</v>
      </c>
      <c r="AD430" s="12">
        <f>COUNTIF(H:H,Table1[[#This Row],[City or Community (Santa Clara County)]])</f>
        <v>91</v>
      </c>
      <c r="AE430" s="12" t="str">
        <f>Table1[[#This Row],[Please select your county]]</f>
        <v>Santa Clara County</v>
      </c>
      <c r="AF430" s="41">
        <f>COUNTIF(AE:AE,Table1[[#This Row],[County]])</f>
        <v>192</v>
      </c>
      <c r="AG430" s="12">
        <v>2025</v>
      </c>
    </row>
    <row r="431" spans="1:33" ht="15.5" x14ac:dyDescent="0.35">
      <c r="A431" s="12">
        <v>693</v>
      </c>
      <c r="B431" s="12" t="s">
        <v>151</v>
      </c>
      <c r="C431" s="12"/>
      <c r="D431" s="12"/>
      <c r="E431" s="12"/>
      <c r="F431" s="12"/>
      <c r="G431" s="12"/>
      <c r="H431" s="12" t="s">
        <v>380</v>
      </c>
      <c r="I431" s="12"/>
      <c r="J431" s="12"/>
      <c r="K431" s="10" t="s">
        <v>386</v>
      </c>
      <c r="L431" s="10" t="s">
        <v>384</v>
      </c>
      <c r="M431" s="10" t="s">
        <v>160</v>
      </c>
      <c r="N431" s="10"/>
      <c r="O431" s="12" t="s">
        <v>38</v>
      </c>
      <c r="P431" s="41">
        <v>750</v>
      </c>
      <c r="Q431" s="42">
        <v>2</v>
      </c>
      <c r="R431" t="s">
        <v>71</v>
      </c>
      <c r="S431" s="12" t="s">
        <v>387</v>
      </c>
      <c r="T431" s="12"/>
      <c r="U431" s="12"/>
      <c r="V431" s="12"/>
      <c r="W431" s="12"/>
      <c r="X431" s="12"/>
      <c r="Y431" s="12"/>
      <c r="Z431" s="12"/>
      <c r="AA431" s="12"/>
      <c r="AB431" s="12"/>
      <c r="AC431" s="12" t="str">
        <f>Table1[[#This Row],[City or Community (Santa Clara County)]]</f>
        <v>San Jose</v>
      </c>
      <c r="AD431" s="12">
        <f>COUNTIF(H:H,Table1[[#This Row],[City or Community (Santa Clara County)]])</f>
        <v>91</v>
      </c>
      <c r="AE431" s="12" t="str">
        <f>Table1[[#This Row],[Please select your county]]</f>
        <v>Santa Clara County</v>
      </c>
      <c r="AF431" s="41">
        <f>COUNTIF(AE:AE,Table1[[#This Row],[County]])</f>
        <v>192</v>
      </c>
      <c r="AG431" s="12">
        <v>2025</v>
      </c>
    </row>
    <row r="432" spans="1:33" ht="15.5" x14ac:dyDescent="0.35">
      <c r="A432" s="12">
        <v>610</v>
      </c>
      <c r="B432" s="12" t="s">
        <v>151</v>
      </c>
      <c r="C432" s="12"/>
      <c r="D432" s="12"/>
      <c r="E432" s="12"/>
      <c r="F432" s="12"/>
      <c r="G432" s="12"/>
      <c r="H432" s="12" t="s">
        <v>380</v>
      </c>
      <c r="I432" s="12"/>
      <c r="J432" s="12"/>
      <c r="K432" s="10" t="s">
        <v>386</v>
      </c>
      <c r="L432" s="10" t="s">
        <v>383</v>
      </c>
      <c r="M432" s="10" t="s">
        <v>382</v>
      </c>
      <c r="N432" s="10"/>
      <c r="O432" s="12" t="s">
        <v>38</v>
      </c>
      <c r="P432" s="41">
        <v>757</v>
      </c>
      <c r="Q432" s="42">
        <v>2</v>
      </c>
      <c r="R432" t="s">
        <v>71</v>
      </c>
      <c r="S432" s="12" t="s">
        <v>389</v>
      </c>
      <c r="T432" s="12"/>
      <c r="U432" s="12"/>
      <c r="V432" s="12"/>
      <c r="W432" s="12"/>
      <c r="X432" s="12"/>
      <c r="Y432" s="12"/>
      <c r="Z432" s="12"/>
      <c r="AA432" s="12"/>
      <c r="AB432" s="12"/>
      <c r="AC432" s="12" t="str">
        <f>Table1[[#This Row],[City or Community (Santa Clara County)]]</f>
        <v>San Jose</v>
      </c>
      <c r="AD432" s="12">
        <f>COUNTIF(H:H,Table1[[#This Row],[City or Community (Santa Clara County)]])</f>
        <v>91</v>
      </c>
      <c r="AE432" s="12" t="str">
        <f>Table1[[#This Row],[Please select your county]]</f>
        <v>Santa Clara County</v>
      </c>
      <c r="AF432" s="41">
        <f>COUNTIF(AE:AE,Table1[[#This Row],[County]])</f>
        <v>192</v>
      </c>
      <c r="AG432" s="12">
        <v>2025</v>
      </c>
    </row>
    <row r="433" spans="1:33" ht="15.5" x14ac:dyDescent="0.35">
      <c r="A433" s="12">
        <v>613</v>
      </c>
      <c r="B433" s="12" t="s">
        <v>151</v>
      </c>
      <c r="C433" s="12"/>
      <c r="D433" s="12"/>
      <c r="E433" s="12"/>
      <c r="F433" s="12"/>
      <c r="G433" s="12"/>
      <c r="H433" s="12" t="s">
        <v>380</v>
      </c>
      <c r="I433" s="12"/>
      <c r="J433" s="12"/>
      <c r="K433" s="10" t="s">
        <v>29</v>
      </c>
      <c r="L433" s="10" t="s">
        <v>384</v>
      </c>
      <c r="M433" s="10" t="s">
        <v>160</v>
      </c>
      <c r="N433" s="10"/>
      <c r="O433" s="12" t="s">
        <v>38</v>
      </c>
      <c r="P433" s="41">
        <v>800</v>
      </c>
      <c r="Q433" s="42">
        <v>2</v>
      </c>
      <c r="R433" t="s">
        <v>71</v>
      </c>
      <c r="S433" s="12" t="s">
        <v>394</v>
      </c>
      <c r="T433" s="12"/>
      <c r="U433" s="12"/>
      <c r="V433" s="12"/>
      <c r="W433" s="12"/>
      <c r="X433" s="12"/>
      <c r="Y433" s="12"/>
      <c r="Z433" s="12"/>
      <c r="AA433" s="12"/>
      <c r="AB433" s="12"/>
      <c r="AC433" s="12" t="str">
        <f>Table1[[#This Row],[City or Community (Santa Clara County)]]</f>
        <v>San Jose</v>
      </c>
      <c r="AD433" s="12">
        <f>COUNTIF(H:H,Table1[[#This Row],[City or Community (Santa Clara County)]])</f>
        <v>91</v>
      </c>
      <c r="AE433" s="12" t="str">
        <f>Table1[[#This Row],[Please select your county]]</f>
        <v>Santa Clara County</v>
      </c>
      <c r="AF433" s="41">
        <f>COUNTIF(AE:AE,Table1[[#This Row],[County]])</f>
        <v>192</v>
      </c>
      <c r="AG433" s="12">
        <v>2025</v>
      </c>
    </row>
    <row r="434" spans="1:33" ht="15.5" x14ac:dyDescent="0.35">
      <c r="A434" s="12">
        <v>628</v>
      </c>
      <c r="B434" s="12" t="s">
        <v>151</v>
      </c>
      <c r="C434" s="12"/>
      <c r="D434" s="12"/>
      <c r="E434" s="12"/>
      <c r="F434" s="12"/>
      <c r="G434" s="12"/>
      <c r="H434" s="12" t="s">
        <v>380</v>
      </c>
      <c r="I434" s="12"/>
      <c r="J434" s="12"/>
      <c r="K434" s="10" t="s">
        <v>29</v>
      </c>
      <c r="L434" s="10" t="s">
        <v>268</v>
      </c>
      <c r="M434" s="10" t="s">
        <v>382</v>
      </c>
      <c r="N434" s="10"/>
      <c r="O434" s="12" t="s">
        <v>38</v>
      </c>
      <c r="P434" s="41">
        <v>800</v>
      </c>
      <c r="Q434" s="42">
        <v>2</v>
      </c>
      <c r="R434" s="12" t="s">
        <v>79</v>
      </c>
      <c r="S434" s="12" t="s">
        <v>382</v>
      </c>
      <c r="T434" s="12"/>
      <c r="U434" s="12"/>
      <c r="V434" s="12"/>
      <c r="W434" s="12"/>
      <c r="X434" s="12"/>
      <c r="Y434" s="12"/>
      <c r="Z434" s="12"/>
      <c r="AA434" s="12"/>
      <c r="AB434" s="12"/>
      <c r="AC434" s="12" t="str">
        <f>Table1[[#This Row],[City or Community (Santa Clara County)]]</f>
        <v>San Jose</v>
      </c>
      <c r="AD434" s="12">
        <f>COUNTIF(H:H,Table1[[#This Row],[City or Community (Santa Clara County)]])</f>
        <v>91</v>
      </c>
      <c r="AE434" s="12" t="str">
        <f>Table1[[#This Row],[Please select your county]]</f>
        <v>Santa Clara County</v>
      </c>
      <c r="AF434" s="41">
        <f>COUNTIF(AE:AE,Table1[[#This Row],[County]])</f>
        <v>192</v>
      </c>
      <c r="AG434" s="12">
        <v>2025</v>
      </c>
    </row>
    <row r="435" spans="1:33" ht="15.5" x14ac:dyDescent="0.35">
      <c r="A435" s="12">
        <v>630</v>
      </c>
      <c r="B435" s="12" t="s">
        <v>151</v>
      </c>
      <c r="C435" s="12"/>
      <c r="D435" s="12"/>
      <c r="E435" s="12"/>
      <c r="F435" s="12"/>
      <c r="G435" s="12"/>
      <c r="H435" s="12" t="s">
        <v>380</v>
      </c>
      <c r="I435" s="12"/>
      <c r="J435" s="12"/>
      <c r="K435" s="10" t="s">
        <v>29</v>
      </c>
      <c r="L435" s="10" t="s">
        <v>384</v>
      </c>
      <c r="M435" s="10" t="s">
        <v>160</v>
      </c>
      <c r="N435" s="10"/>
      <c r="O435" s="12" t="s">
        <v>38</v>
      </c>
      <c r="P435" s="41">
        <v>800</v>
      </c>
      <c r="Q435" s="42">
        <v>2</v>
      </c>
      <c r="R435" s="12" t="s">
        <v>79</v>
      </c>
      <c r="S435" s="12" t="s">
        <v>387</v>
      </c>
      <c r="T435" s="12"/>
      <c r="U435" s="12"/>
      <c r="V435" s="12"/>
      <c r="W435" s="12"/>
      <c r="X435" s="12"/>
      <c r="Y435" s="12"/>
      <c r="Z435" s="12"/>
      <c r="AA435" s="12"/>
      <c r="AB435" s="12"/>
      <c r="AC435" s="12" t="str">
        <f>Table1[[#This Row],[City or Community (Santa Clara County)]]</f>
        <v>San Jose</v>
      </c>
      <c r="AD435" s="12">
        <f>COUNTIF(H:H,Table1[[#This Row],[City or Community (Santa Clara County)]])</f>
        <v>91</v>
      </c>
      <c r="AE435" s="12" t="str">
        <f>Table1[[#This Row],[Please select your county]]</f>
        <v>Santa Clara County</v>
      </c>
      <c r="AF435" s="41">
        <f>COUNTIF(AE:AE,Table1[[#This Row],[County]])</f>
        <v>192</v>
      </c>
      <c r="AG435" s="12">
        <v>2025</v>
      </c>
    </row>
    <row r="436" spans="1:33" ht="15.5" x14ac:dyDescent="0.35">
      <c r="A436" s="12">
        <v>645</v>
      </c>
      <c r="B436" s="12" t="s">
        <v>151</v>
      </c>
      <c r="C436" s="12"/>
      <c r="D436" s="12"/>
      <c r="E436" s="12"/>
      <c r="F436" s="12"/>
      <c r="G436" s="12"/>
      <c r="H436" s="12" t="s">
        <v>380</v>
      </c>
      <c r="I436" s="12"/>
      <c r="J436" s="12"/>
      <c r="K436" s="10" t="s">
        <v>29</v>
      </c>
      <c r="L436" s="10" t="s">
        <v>384</v>
      </c>
      <c r="M436" s="10" t="s">
        <v>160</v>
      </c>
      <c r="N436" s="10"/>
      <c r="O436" s="12" t="s">
        <v>38</v>
      </c>
      <c r="P436" s="41">
        <v>800</v>
      </c>
      <c r="Q436" s="42">
        <v>2</v>
      </c>
      <c r="R436" s="12" t="s">
        <v>79</v>
      </c>
      <c r="S436" s="12" t="s">
        <v>391</v>
      </c>
      <c r="T436" s="12"/>
      <c r="U436" s="12"/>
      <c r="V436" s="12"/>
      <c r="W436" s="12"/>
      <c r="X436" s="12"/>
      <c r="Y436" s="12"/>
      <c r="Z436" s="12"/>
      <c r="AA436" s="12"/>
      <c r="AB436" s="12"/>
      <c r="AC436" s="12" t="str">
        <f>Table1[[#This Row],[City or Community (Santa Clara County)]]</f>
        <v>San Jose</v>
      </c>
      <c r="AD436" s="12">
        <f>COUNTIF(H:H,Table1[[#This Row],[City or Community (Santa Clara County)]])</f>
        <v>91</v>
      </c>
      <c r="AE436" s="12" t="str">
        <f>Table1[[#This Row],[Please select your county]]</f>
        <v>Santa Clara County</v>
      </c>
      <c r="AF436" s="41">
        <f>COUNTIF(AE:AE,Table1[[#This Row],[County]])</f>
        <v>192</v>
      </c>
      <c r="AG436" s="12">
        <v>2025</v>
      </c>
    </row>
    <row r="437" spans="1:33" ht="15.5" x14ac:dyDescent="0.35">
      <c r="A437" s="12">
        <v>614</v>
      </c>
      <c r="B437" s="12" t="s">
        <v>151</v>
      </c>
      <c r="C437" s="12"/>
      <c r="D437" s="12"/>
      <c r="E437" s="12"/>
      <c r="F437" s="12"/>
      <c r="G437" s="12"/>
      <c r="H437" s="12" t="s">
        <v>380</v>
      </c>
      <c r="I437" s="12"/>
      <c r="J437" s="12"/>
      <c r="K437" s="10" t="s">
        <v>386</v>
      </c>
      <c r="L437" s="10" t="s">
        <v>383</v>
      </c>
      <c r="M437" s="10" t="s">
        <v>160</v>
      </c>
      <c r="N437" s="10"/>
      <c r="O437" s="12" t="s">
        <v>38</v>
      </c>
      <c r="P437" s="41">
        <v>800</v>
      </c>
      <c r="Q437" s="42">
        <v>2</v>
      </c>
      <c r="R437" t="s">
        <v>70</v>
      </c>
      <c r="S437" s="12" t="s">
        <v>389</v>
      </c>
      <c r="T437" s="12"/>
      <c r="U437" s="12"/>
      <c r="V437" s="12"/>
      <c r="W437" s="12"/>
      <c r="X437" s="12"/>
      <c r="Y437" s="12"/>
      <c r="Z437" s="12"/>
      <c r="AA437" s="12"/>
      <c r="AB437" s="12"/>
      <c r="AC437" s="12" t="str">
        <f>Table1[[#This Row],[City or Community (Santa Clara County)]]</f>
        <v>San Jose</v>
      </c>
      <c r="AD437" s="12">
        <f>COUNTIF(H:H,Table1[[#This Row],[City or Community (Santa Clara County)]])</f>
        <v>91</v>
      </c>
      <c r="AE437" s="12" t="str">
        <f>Table1[[#This Row],[Please select your county]]</f>
        <v>Santa Clara County</v>
      </c>
      <c r="AF437" s="41">
        <f>COUNTIF(AE:AE,Table1[[#This Row],[County]])</f>
        <v>192</v>
      </c>
      <c r="AG437" s="12">
        <v>2025</v>
      </c>
    </row>
    <row r="438" spans="1:33" ht="15.5" x14ac:dyDescent="0.35">
      <c r="A438" s="12">
        <v>665</v>
      </c>
      <c r="B438" s="12" t="s">
        <v>151</v>
      </c>
      <c r="C438" s="12"/>
      <c r="D438" s="12"/>
      <c r="E438" s="12"/>
      <c r="F438" s="12"/>
      <c r="G438" s="12"/>
      <c r="H438" s="12" t="s">
        <v>380</v>
      </c>
      <c r="I438" s="12"/>
      <c r="J438" s="12"/>
      <c r="K438" s="10" t="s">
        <v>31</v>
      </c>
      <c r="L438" s="10" t="s">
        <v>384</v>
      </c>
      <c r="M438" s="10" t="s">
        <v>160</v>
      </c>
      <c r="N438" s="10"/>
      <c r="O438" s="12" t="s">
        <v>38</v>
      </c>
      <c r="P438" s="41">
        <v>820</v>
      </c>
      <c r="Q438" s="42">
        <v>2</v>
      </c>
      <c r="R438" s="12" t="s">
        <v>79</v>
      </c>
      <c r="S438" s="12" t="s">
        <v>396</v>
      </c>
      <c r="T438" s="12"/>
      <c r="U438" s="12"/>
      <c r="V438" s="12"/>
      <c r="W438" s="12"/>
      <c r="X438" s="12"/>
      <c r="Y438" s="12"/>
      <c r="Z438" s="12"/>
      <c r="AA438" s="12"/>
      <c r="AB438" s="12"/>
      <c r="AC438" s="12" t="str">
        <f>Table1[[#This Row],[City or Community (Santa Clara County)]]</f>
        <v>San Jose</v>
      </c>
      <c r="AD438" s="12">
        <f>COUNTIF(H:H,Table1[[#This Row],[City or Community (Santa Clara County)]])</f>
        <v>91</v>
      </c>
      <c r="AE438" s="12" t="str">
        <f>Table1[[#This Row],[Please select your county]]</f>
        <v>Santa Clara County</v>
      </c>
      <c r="AF438" s="41">
        <f>COUNTIF(AE:AE,Table1[[#This Row],[County]])</f>
        <v>192</v>
      </c>
      <c r="AG438" s="12">
        <v>2025</v>
      </c>
    </row>
    <row r="439" spans="1:33" ht="15.5" x14ac:dyDescent="0.35">
      <c r="A439" s="12">
        <v>655</v>
      </c>
      <c r="B439" s="12" t="s">
        <v>151</v>
      </c>
      <c r="C439" s="12"/>
      <c r="D439" s="12"/>
      <c r="E439" s="12"/>
      <c r="F439" s="12"/>
      <c r="G439" s="12"/>
      <c r="H439" s="12" t="s">
        <v>380</v>
      </c>
      <c r="I439" s="12"/>
      <c r="J439" s="12"/>
      <c r="K439" s="10" t="s">
        <v>273</v>
      </c>
      <c r="L439" s="10" t="s">
        <v>384</v>
      </c>
      <c r="M439" s="10" t="s">
        <v>160</v>
      </c>
      <c r="N439" s="10"/>
      <c r="O439" s="10" t="s">
        <v>39</v>
      </c>
      <c r="P439" s="41">
        <v>836</v>
      </c>
      <c r="Q439" s="12" t="s">
        <v>281</v>
      </c>
      <c r="R439" s="12" t="s">
        <v>76</v>
      </c>
      <c r="S439" s="12" t="s">
        <v>382</v>
      </c>
      <c r="T439" s="12"/>
      <c r="U439" s="12"/>
      <c r="V439" s="12"/>
      <c r="W439" s="12"/>
      <c r="X439" s="12"/>
      <c r="Y439" s="12"/>
      <c r="Z439" s="12"/>
      <c r="AA439" s="12"/>
      <c r="AB439" s="12"/>
      <c r="AC439" s="12" t="str">
        <f>Table1[[#This Row],[City or Community (Santa Clara County)]]</f>
        <v>San Jose</v>
      </c>
      <c r="AD439" s="12">
        <f>COUNTIF(H:H,Table1[[#This Row],[City or Community (Santa Clara County)]])</f>
        <v>91</v>
      </c>
      <c r="AE439" s="12" t="str">
        <f>Table1[[#This Row],[Please select your county]]</f>
        <v>Santa Clara County</v>
      </c>
      <c r="AF439" s="41">
        <f>COUNTIF(AE:AE,Table1[[#This Row],[County]])</f>
        <v>192</v>
      </c>
      <c r="AG439" s="12">
        <v>2025</v>
      </c>
    </row>
    <row r="440" spans="1:33" ht="15.5" x14ac:dyDescent="0.35">
      <c r="A440" s="12">
        <v>691</v>
      </c>
      <c r="B440" s="12" t="s">
        <v>151</v>
      </c>
      <c r="C440" s="12"/>
      <c r="D440" s="12"/>
      <c r="E440" s="12"/>
      <c r="F440" s="12"/>
      <c r="G440" s="12"/>
      <c r="H440" s="12" t="s">
        <v>380</v>
      </c>
      <c r="I440" s="12"/>
      <c r="J440" s="12"/>
      <c r="K440" s="10" t="s">
        <v>29</v>
      </c>
      <c r="L440" s="10" t="s">
        <v>397</v>
      </c>
      <c r="M440" s="10" t="s">
        <v>382</v>
      </c>
      <c r="N440" s="10"/>
      <c r="O440" s="12" t="s">
        <v>38</v>
      </c>
      <c r="P440" s="41">
        <v>890</v>
      </c>
      <c r="Q440" s="42">
        <v>2</v>
      </c>
      <c r="R440" s="12" t="s">
        <v>79</v>
      </c>
      <c r="S440" s="12" t="s">
        <v>398</v>
      </c>
      <c r="T440" s="12"/>
      <c r="U440" s="12"/>
      <c r="V440" s="12"/>
      <c r="W440" s="12"/>
      <c r="X440" s="12"/>
      <c r="Y440" s="12"/>
      <c r="Z440" s="12"/>
      <c r="AA440" s="12"/>
      <c r="AB440" s="12"/>
      <c r="AC440" s="12" t="str">
        <f>Table1[[#This Row],[City or Community (Santa Clara County)]]</f>
        <v>San Jose</v>
      </c>
      <c r="AD440" s="12">
        <f>COUNTIF(H:H,Table1[[#This Row],[City or Community (Santa Clara County)]])</f>
        <v>91</v>
      </c>
      <c r="AE440" s="12" t="str">
        <f>Table1[[#This Row],[Please select your county]]</f>
        <v>Santa Clara County</v>
      </c>
      <c r="AF440" s="41">
        <f>COUNTIF(AE:AE,Table1[[#This Row],[County]])</f>
        <v>192</v>
      </c>
      <c r="AG440" s="12">
        <v>2025</v>
      </c>
    </row>
    <row r="441" spans="1:33" ht="15.5" x14ac:dyDescent="0.35">
      <c r="A441" s="12">
        <v>695</v>
      </c>
      <c r="B441" s="12" t="s">
        <v>151</v>
      </c>
      <c r="C441" s="12"/>
      <c r="D441" s="12"/>
      <c r="E441" s="12"/>
      <c r="F441" s="12"/>
      <c r="G441" s="12"/>
      <c r="H441" s="12" t="s">
        <v>380</v>
      </c>
      <c r="I441" s="12"/>
      <c r="J441" s="12"/>
      <c r="K441" s="10" t="s">
        <v>29</v>
      </c>
      <c r="L441" s="10" t="s">
        <v>383</v>
      </c>
      <c r="M441" s="10" t="s">
        <v>382</v>
      </c>
      <c r="N441" s="10"/>
      <c r="O441" s="12" t="s">
        <v>38</v>
      </c>
      <c r="P441" s="41">
        <v>950</v>
      </c>
      <c r="Q441" s="42">
        <v>2</v>
      </c>
      <c r="R441" s="12" t="s">
        <v>79</v>
      </c>
      <c r="S441" s="12" t="s">
        <v>387</v>
      </c>
      <c r="T441" s="12"/>
      <c r="U441" s="12"/>
      <c r="V441" s="12"/>
      <c r="W441" s="12"/>
      <c r="X441" s="12"/>
      <c r="Y441" s="12"/>
      <c r="Z441" s="12"/>
      <c r="AA441" s="12"/>
      <c r="AB441" s="12"/>
      <c r="AC441" s="12" t="str">
        <f>Table1[[#This Row],[City or Community (Santa Clara County)]]</f>
        <v>San Jose</v>
      </c>
      <c r="AD441" s="12">
        <f>COUNTIF(H:H,Table1[[#This Row],[City or Community (Santa Clara County)]])</f>
        <v>91</v>
      </c>
      <c r="AE441" s="12" t="str">
        <f>Table1[[#This Row],[Please select your county]]</f>
        <v>Santa Clara County</v>
      </c>
      <c r="AF441" s="41">
        <f>COUNTIF(AE:AE,Table1[[#This Row],[County]])</f>
        <v>192</v>
      </c>
      <c r="AG441" s="12">
        <v>2025</v>
      </c>
    </row>
    <row r="442" spans="1:33" ht="15.5" x14ac:dyDescent="0.35">
      <c r="A442" s="12">
        <v>650</v>
      </c>
      <c r="B442" s="12" t="s">
        <v>151</v>
      </c>
      <c r="C442" s="12"/>
      <c r="D442" s="12"/>
      <c r="E442" s="12"/>
      <c r="F442" s="12"/>
      <c r="G442" s="12"/>
      <c r="H442" s="12" t="s">
        <v>380</v>
      </c>
      <c r="I442" s="12"/>
      <c r="J442" s="12"/>
      <c r="K442" s="10" t="s">
        <v>386</v>
      </c>
      <c r="L442" s="10" t="s">
        <v>384</v>
      </c>
      <c r="M442" s="10" t="s">
        <v>160</v>
      </c>
      <c r="N442" s="10"/>
      <c r="O442" s="12" t="s">
        <v>38</v>
      </c>
      <c r="P442" s="41">
        <v>950</v>
      </c>
      <c r="Q442" s="42">
        <v>2</v>
      </c>
      <c r="R442" t="s">
        <v>71</v>
      </c>
      <c r="S442" s="12" t="s">
        <v>392</v>
      </c>
      <c r="T442" s="12"/>
      <c r="U442" s="12"/>
      <c r="V442" s="12"/>
      <c r="W442" s="12"/>
      <c r="X442" s="12"/>
      <c r="Y442" s="12"/>
      <c r="Z442" s="12"/>
      <c r="AA442" s="12"/>
      <c r="AB442" s="12"/>
      <c r="AC442" s="12" t="str">
        <f>Table1[[#This Row],[City or Community (Santa Clara County)]]</f>
        <v>San Jose</v>
      </c>
      <c r="AD442" s="12">
        <f>COUNTIF(H:H,Table1[[#This Row],[City or Community (Santa Clara County)]])</f>
        <v>91</v>
      </c>
      <c r="AE442" s="12" t="str">
        <f>Table1[[#This Row],[Please select your county]]</f>
        <v>Santa Clara County</v>
      </c>
      <c r="AF442" s="41">
        <f>COUNTIF(AE:AE,Table1[[#This Row],[County]])</f>
        <v>192</v>
      </c>
      <c r="AG442" s="12">
        <v>2025</v>
      </c>
    </row>
    <row r="443" spans="1:33" ht="15.5" x14ac:dyDescent="0.35">
      <c r="A443" s="12">
        <v>683</v>
      </c>
      <c r="B443" s="12" t="s">
        <v>151</v>
      </c>
      <c r="C443" s="12"/>
      <c r="D443" s="12"/>
      <c r="E443" s="12"/>
      <c r="F443" s="12"/>
      <c r="G443" s="12"/>
      <c r="H443" s="12" t="s">
        <v>380</v>
      </c>
      <c r="I443" s="12"/>
      <c r="J443" s="12"/>
      <c r="K443" s="10" t="s">
        <v>29</v>
      </c>
      <c r="L443" s="10" t="s">
        <v>383</v>
      </c>
      <c r="M443" s="10" t="s">
        <v>382</v>
      </c>
      <c r="N443" s="10"/>
      <c r="O443" s="12" t="s">
        <v>38</v>
      </c>
      <c r="P443" s="41">
        <v>970</v>
      </c>
      <c r="Q443" s="42">
        <v>2</v>
      </c>
      <c r="R443" s="12" t="s">
        <v>79</v>
      </c>
      <c r="S443" s="12" t="s">
        <v>382</v>
      </c>
      <c r="T443" s="12"/>
      <c r="U443" s="12"/>
      <c r="V443" s="12"/>
      <c r="W443" s="12"/>
      <c r="X443" s="12"/>
      <c r="Y443" s="12"/>
      <c r="Z443" s="12"/>
      <c r="AA443" s="12"/>
      <c r="AB443" s="12"/>
      <c r="AC443" s="12" t="str">
        <f>Table1[[#This Row],[City or Community (Santa Clara County)]]</f>
        <v>San Jose</v>
      </c>
      <c r="AD443" s="12">
        <f>COUNTIF(H:H,Table1[[#This Row],[City or Community (Santa Clara County)]])</f>
        <v>91</v>
      </c>
      <c r="AE443" s="12" t="str">
        <f>Table1[[#This Row],[Please select your county]]</f>
        <v>Santa Clara County</v>
      </c>
      <c r="AF443" s="41">
        <f>COUNTIF(AE:AE,Table1[[#This Row],[County]])</f>
        <v>192</v>
      </c>
      <c r="AG443" s="12">
        <v>2025</v>
      </c>
    </row>
    <row r="444" spans="1:33" ht="15.5" x14ac:dyDescent="0.35">
      <c r="A444" s="12">
        <v>651</v>
      </c>
      <c r="B444" s="12" t="s">
        <v>151</v>
      </c>
      <c r="C444" s="12"/>
      <c r="D444" s="12"/>
      <c r="E444" s="12"/>
      <c r="F444" s="12"/>
      <c r="G444" s="12"/>
      <c r="H444" s="12" t="s">
        <v>380</v>
      </c>
      <c r="I444" s="12"/>
      <c r="J444" s="12"/>
      <c r="K444" s="10" t="s">
        <v>386</v>
      </c>
      <c r="L444" s="10" t="s">
        <v>383</v>
      </c>
      <c r="M444" s="10" t="s">
        <v>382</v>
      </c>
      <c r="N444" s="10"/>
      <c r="O444" s="12" t="s">
        <v>38</v>
      </c>
      <c r="P444" s="41">
        <v>985</v>
      </c>
      <c r="Q444" s="42">
        <v>2</v>
      </c>
      <c r="R444" t="s">
        <v>73</v>
      </c>
      <c r="S444" s="12" t="s">
        <v>392</v>
      </c>
      <c r="T444" s="12"/>
      <c r="U444" s="12"/>
      <c r="V444" s="12"/>
      <c r="W444" s="12"/>
      <c r="X444" s="12"/>
      <c r="Y444" s="12"/>
      <c r="Z444" s="12"/>
      <c r="AA444" s="12"/>
      <c r="AB444" s="12"/>
      <c r="AC444" s="12" t="str">
        <f>Table1[[#This Row],[City or Community (Santa Clara County)]]</f>
        <v>San Jose</v>
      </c>
      <c r="AD444" s="12">
        <f>COUNTIF(H:H,Table1[[#This Row],[City or Community (Santa Clara County)]])</f>
        <v>91</v>
      </c>
      <c r="AE444" s="12" t="str">
        <f>Table1[[#This Row],[Please select your county]]</f>
        <v>Santa Clara County</v>
      </c>
      <c r="AF444" s="41">
        <f>COUNTIF(AE:AE,Table1[[#This Row],[County]])</f>
        <v>192</v>
      </c>
      <c r="AG444" s="12">
        <v>2025</v>
      </c>
    </row>
    <row r="445" spans="1:33" ht="15.5" x14ac:dyDescent="0.35">
      <c r="A445" s="12">
        <v>627</v>
      </c>
      <c r="B445" s="12" t="s">
        <v>151</v>
      </c>
      <c r="C445" s="12"/>
      <c r="D445" s="12"/>
      <c r="E445" s="12"/>
      <c r="F445" s="12"/>
      <c r="G445" s="12"/>
      <c r="H445" s="12" t="s">
        <v>380</v>
      </c>
      <c r="I445" s="12"/>
      <c r="J445" s="12"/>
      <c r="K445" s="10" t="s">
        <v>29</v>
      </c>
      <c r="L445" s="10" t="s">
        <v>268</v>
      </c>
      <c r="M445" s="10" t="s">
        <v>382</v>
      </c>
      <c r="N445" s="10"/>
      <c r="O445" s="12" t="s">
        <v>38</v>
      </c>
      <c r="P445" s="41">
        <v>990</v>
      </c>
      <c r="Q445" s="12" t="s">
        <v>281</v>
      </c>
      <c r="R445" s="12" t="s">
        <v>79</v>
      </c>
      <c r="S445" s="12" t="s">
        <v>382</v>
      </c>
      <c r="T445" s="12"/>
      <c r="U445" s="12"/>
      <c r="V445" s="12"/>
      <c r="W445" s="12"/>
      <c r="X445" s="12"/>
      <c r="Y445" s="12"/>
      <c r="Z445" s="12"/>
      <c r="AA445" s="12"/>
      <c r="AB445" s="12"/>
      <c r="AC445" s="12" t="str">
        <f>Table1[[#This Row],[City or Community (Santa Clara County)]]</f>
        <v>San Jose</v>
      </c>
      <c r="AD445" s="12">
        <f>COUNTIF(H:H,Table1[[#This Row],[City or Community (Santa Clara County)]])</f>
        <v>91</v>
      </c>
      <c r="AE445" s="12" t="str">
        <f>Table1[[#This Row],[Please select your county]]</f>
        <v>Santa Clara County</v>
      </c>
      <c r="AF445" s="41">
        <f>COUNTIF(AE:AE,Table1[[#This Row],[County]])</f>
        <v>192</v>
      </c>
      <c r="AG445" s="12">
        <v>2025</v>
      </c>
    </row>
    <row r="446" spans="1:33" ht="15.5" x14ac:dyDescent="0.35">
      <c r="A446" s="12">
        <v>646</v>
      </c>
      <c r="B446" s="12" t="s">
        <v>151</v>
      </c>
      <c r="C446" s="12"/>
      <c r="D446" s="12"/>
      <c r="E446" s="12"/>
      <c r="F446" s="12"/>
      <c r="G446" s="12"/>
      <c r="H446" s="12" t="s">
        <v>380</v>
      </c>
      <c r="I446" s="12"/>
      <c r="J446" s="12"/>
      <c r="K446" s="10" t="s">
        <v>29</v>
      </c>
      <c r="L446" s="10" t="s">
        <v>384</v>
      </c>
      <c r="M446" s="10" t="s">
        <v>160</v>
      </c>
      <c r="N446" s="10"/>
      <c r="O446" s="12" t="s">
        <v>38</v>
      </c>
      <c r="P446" s="41">
        <v>996</v>
      </c>
      <c r="Q446" s="42">
        <v>2</v>
      </c>
      <c r="R446" s="12" t="s">
        <v>79</v>
      </c>
      <c r="S446" s="12" t="s">
        <v>387</v>
      </c>
      <c r="T446" s="12"/>
      <c r="U446" s="12"/>
      <c r="V446" s="12"/>
      <c r="W446" s="12"/>
      <c r="X446" s="12"/>
      <c r="Y446" s="12"/>
      <c r="Z446" s="12"/>
      <c r="AA446" s="12"/>
      <c r="AB446" s="12"/>
      <c r="AC446" s="12" t="str">
        <f>Table1[[#This Row],[City or Community (Santa Clara County)]]</f>
        <v>San Jose</v>
      </c>
      <c r="AD446" s="12">
        <f>COUNTIF(H:H,Table1[[#This Row],[City or Community (Santa Clara County)]])</f>
        <v>91</v>
      </c>
      <c r="AE446" s="12" t="str">
        <f>Table1[[#This Row],[Please select your county]]</f>
        <v>Santa Clara County</v>
      </c>
      <c r="AF446" s="41">
        <f>COUNTIF(AE:AE,Table1[[#This Row],[County]])</f>
        <v>192</v>
      </c>
      <c r="AG446" s="12">
        <v>2025</v>
      </c>
    </row>
    <row r="447" spans="1:33" ht="15.5" x14ac:dyDescent="0.35">
      <c r="A447" s="12">
        <v>673</v>
      </c>
      <c r="B447" s="12" t="s">
        <v>151</v>
      </c>
      <c r="C447" s="12"/>
      <c r="D447" s="12"/>
      <c r="E447" s="12"/>
      <c r="F447" s="12"/>
      <c r="G447" s="12"/>
      <c r="H447" s="12" t="s">
        <v>380</v>
      </c>
      <c r="I447" s="12"/>
      <c r="J447" s="12"/>
      <c r="K447" s="10" t="s">
        <v>29</v>
      </c>
      <c r="L447" s="10" t="s">
        <v>384</v>
      </c>
      <c r="M447" s="10" t="s">
        <v>160</v>
      </c>
      <c r="N447" s="10"/>
      <c r="O447" s="12" t="s">
        <v>38</v>
      </c>
      <c r="P447" s="41">
        <v>998</v>
      </c>
      <c r="Q447" s="42">
        <v>2</v>
      </c>
      <c r="R447" s="12" t="s">
        <v>79</v>
      </c>
      <c r="S447" s="12" t="s">
        <v>382</v>
      </c>
      <c r="T447" s="12"/>
      <c r="U447" s="12"/>
      <c r="V447" s="12"/>
      <c r="W447" s="12"/>
      <c r="X447" s="12"/>
      <c r="Y447" s="12"/>
      <c r="Z447" s="12"/>
      <c r="AA447" s="12"/>
      <c r="AB447" s="12"/>
      <c r="AC447" s="12" t="str">
        <f>Table1[[#This Row],[City or Community (Santa Clara County)]]</f>
        <v>San Jose</v>
      </c>
      <c r="AD447" s="12">
        <f>COUNTIF(H:H,Table1[[#This Row],[City or Community (Santa Clara County)]])</f>
        <v>91</v>
      </c>
      <c r="AE447" s="12" t="str">
        <f>Table1[[#This Row],[Please select your county]]</f>
        <v>Santa Clara County</v>
      </c>
      <c r="AF447" s="41">
        <f>COUNTIF(AE:AE,Table1[[#This Row],[County]])</f>
        <v>192</v>
      </c>
      <c r="AG447" s="12">
        <v>2025</v>
      </c>
    </row>
    <row r="448" spans="1:33" ht="15.5" x14ac:dyDescent="0.35">
      <c r="A448" s="12">
        <v>658</v>
      </c>
      <c r="B448" s="12" t="s">
        <v>151</v>
      </c>
      <c r="C448" s="12"/>
      <c r="D448" s="12"/>
      <c r="E448" s="12"/>
      <c r="F448" s="12"/>
      <c r="G448" s="12"/>
      <c r="H448" s="12" t="s">
        <v>380</v>
      </c>
      <c r="I448" s="12"/>
      <c r="J448" s="12"/>
      <c r="K448" s="10" t="s">
        <v>29</v>
      </c>
      <c r="L448" s="10" t="s">
        <v>384</v>
      </c>
      <c r="M448" s="10" t="s">
        <v>160</v>
      </c>
      <c r="N448" s="10"/>
      <c r="O448" s="12" t="s">
        <v>38</v>
      </c>
      <c r="P448" s="41">
        <v>1000</v>
      </c>
      <c r="Q448" s="42">
        <v>2</v>
      </c>
      <c r="R448" s="12" t="s">
        <v>79</v>
      </c>
      <c r="S448" s="12" t="s">
        <v>382</v>
      </c>
      <c r="T448" s="12"/>
      <c r="U448" s="12"/>
      <c r="V448" s="12"/>
      <c r="W448" s="12"/>
      <c r="X448" s="12"/>
      <c r="Y448" s="12"/>
      <c r="Z448" s="12"/>
      <c r="AA448" s="12"/>
      <c r="AB448" s="12"/>
      <c r="AC448" s="12" t="str">
        <f>Table1[[#This Row],[City or Community (Santa Clara County)]]</f>
        <v>San Jose</v>
      </c>
      <c r="AD448" s="12">
        <f>COUNTIF(H:H,Table1[[#This Row],[City or Community (Santa Clara County)]])</f>
        <v>91</v>
      </c>
      <c r="AE448" s="12" t="str">
        <f>Table1[[#This Row],[Please select your county]]</f>
        <v>Santa Clara County</v>
      </c>
      <c r="AF448" s="41">
        <f>COUNTIF(AE:AE,Table1[[#This Row],[County]])</f>
        <v>192</v>
      </c>
      <c r="AG448" s="12">
        <v>2025</v>
      </c>
    </row>
    <row r="449" spans="1:33" ht="15.5" x14ac:dyDescent="0.35">
      <c r="A449" s="12">
        <v>659</v>
      </c>
      <c r="B449" s="12" t="s">
        <v>151</v>
      </c>
      <c r="C449" s="12"/>
      <c r="D449" s="12"/>
      <c r="E449" s="12"/>
      <c r="F449" s="12"/>
      <c r="G449" s="12"/>
      <c r="H449" s="12" t="s">
        <v>380</v>
      </c>
      <c r="I449" s="12"/>
      <c r="J449" s="12"/>
      <c r="K449" s="10" t="s">
        <v>29</v>
      </c>
      <c r="L449" s="10" t="s">
        <v>384</v>
      </c>
      <c r="M449" s="10" t="s">
        <v>160</v>
      </c>
      <c r="N449" s="10"/>
      <c r="O449" s="12" t="s">
        <v>38</v>
      </c>
      <c r="P449" s="41">
        <v>1000</v>
      </c>
      <c r="Q449" s="42">
        <v>2</v>
      </c>
      <c r="R449" s="12" t="s">
        <v>79</v>
      </c>
      <c r="S449" s="12" t="s">
        <v>392</v>
      </c>
      <c r="T449" s="12"/>
      <c r="U449" s="12"/>
      <c r="V449" s="12"/>
      <c r="W449" s="12"/>
      <c r="X449" s="12"/>
      <c r="Y449" s="12"/>
      <c r="Z449" s="12"/>
      <c r="AA449" s="12"/>
      <c r="AB449" s="12"/>
      <c r="AC449" s="12" t="str">
        <f>Table1[[#This Row],[City or Community (Santa Clara County)]]</f>
        <v>San Jose</v>
      </c>
      <c r="AD449" s="12">
        <f>COUNTIF(H:H,Table1[[#This Row],[City or Community (Santa Clara County)]])</f>
        <v>91</v>
      </c>
      <c r="AE449" s="12" t="str">
        <f>Table1[[#This Row],[Please select your county]]</f>
        <v>Santa Clara County</v>
      </c>
      <c r="AF449" s="41">
        <f>COUNTIF(AE:AE,Table1[[#This Row],[County]])</f>
        <v>192</v>
      </c>
      <c r="AG449" s="12">
        <v>2025</v>
      </c>
    </row>
    <row r="450" spans="1:33" ht="15.5" x14ac:dyDescent="0.35">
      <c r="A450" s="12">
        <v>679</v>
      </c>
      <c r="B450" s="12" t="s">
        <v>151</v>
      </c>
      <c r="C450" s="12"/>
      <c r="D450" s="12"/>
      <c r="E450" s="12"/>
      <c r="F450" s="12"/>
      <c r="G450" s="12"/>
      <c r="H450" s="12" t="s">
        <v>380</v>
      </c>
      <c r="I450" s="12"/>
      <c r="J450" s="12"/>
      <c r="K450" s="10" t="s">
        <v>29</v>
      </c>
      <c r="L450" s="10" t="s">
        <v>384</v>
      </c>
      <c r="M450" s="10" t="s">
        <v>160</v>
      </c>
      <c r="N450" s="10"/>
      <c r="O450" s="12" t="s">
        <v>38</v>
      </c>
      <c r="P450" s="41">
        <v>1193</v>
      </c>
      <c r="Q450" s="42">
        <v>2</v>
      </c>
      <c r="R450" s="12" t="s">
        <v>67</v>
      </c>
      <c r="S450" s="12" t="s">
        <v>396</v>
      </c>
      <c r="T450" s="12"/>
      <c r="U450" s="12"/>
      <c r="V450" s="12"/>
      <c r="W450" s="12"/>
      <c r="X450" s="12"/>
      <c r="Y450" s="12"/>
      <c r="Z450" s="12"/>
      <c r="AA450" s="12"/>
      <c r="AB450" s="12"/>
      <c r="AC450" s="12" t="str">
        <f>Table1[[#This Row],[City or Community (Santa Clara County)]]</f>
        <v>San Jose</v>
      </c>
      <c r="AD450" s="12">
        <f>COUNTIF(H:H,Table1[[#This Row],[City or Community (Santa Clara County)]])</f>
        <v>91</v>
      </c>
      <c r="AE450" s="12" t="str">
        <f>Table1[[#This Row],[Please select your county]]</f>
        <v>Santa Clara County</v>
      </c>
      <c r="AF450" s="41">
        <f>COUNTIF(AE:AE,Table1[[#This Row],[County]])</f>
        <v>192</v>
      </c>
      <c r="AG450" s="12">
        <v>2025</v>
      </c>
    </row>
    <row r="451" spans="1:33" ht="15.5" x14ac:dyDescent="0.35">
      <c r="A451" s="12">
        <v>666</v>
      </c>
      <c r="B451" s="12" t="s">
        <v>151</v>
      </c>
      <c r="C451" s="12"/>
      <c r="D451" s="12"/>
      <c r="E451" s="12"/>
      <c r="F451" s="12"/>
      <c r="G451" s="12"/>
      <c r="H451" s="12" t="s">
        <v>380</v>
      </c>
      <c r="I451" s="12"/>
      <c r="J451" s="12"/>
      <c r="K451" s="10" t="s">
        <v>29</v>
      </c>
      <c r="L451" s="10" t="s">
        <v>384</v>
      </c>
      <c r="M451" s="10" t="s">
        <v>160</v>
      </c>
      <c r="N451" s="10"/>
      <c r="O451" s="12" t="s">
        <v>38</v>
      </c>
      <c r="P451" s="41">
        <v>1200</v>
      </c>
      <c r="Q451" s="42">
        <v>2</v>
      </c>
      <c r="R451" s="12" t="s">
        <v>79</v>
      </c>
      <c r="S451" s="12" t="s">
        <v>389</v>
      </c>
      <c r="T451" s="12"/>
      <c r="U451" s="12"/>
      <c r="V451" s="12"/>
      <c r="W451" s="12"/>
      <c r="X451" s="12"/>
      <c r="Y451" s="12"/>
      <c r="Z451" s="12"/>
      <c r="AA451" s="12"/>
      <c r="AB451" s="12"/>
      <c r="AC451" s="12" t="str">
        <f>Table1[[#This Row],[City or Community (Santa Clara County)]]</f>
        <v>San Jose</v>
      </c>
      <c r="AD451" s="12">
        <f>COUNTIF(H:H,Table1[[#This Row],[City or Community (Santa Clara County)]])</f>
        <v>91</v>
      </c>
      <c r="AE451" s="12" t="str">
        <f>Table1[[#This Row],[Please select your county]]</f>
        <v>Santa Clara County</v>
      </c>
      <c r="AF451" s="41">
        <f>COUNTIF(AE:AE,Table1[[#This Row],[County]])</f>
        <v>192</v>
      </c>
      <c r="AG451" s="12">
        <v>2025</v>
      </c>
    </row>
    <row r="452" spans="1:33" ht="15.5" x14ac:dyDescent="0.35">
      <c r="A452" s="12">
        <v>635</v>
      </c>
      <c r="B452" s="12" t="s">
        <v>151</v>
      </c>
      <c r="C452" s="12"/>
      <c r="D452" s="12"/>
      <c r="E452" s="12"/>
      <c r="F452" s="12"/>
      <c r="G452" s="12"/>
      <c r="H452" s="12" t="s">
        <v>380</v>
      </c>
      <c r="I452" s="12"/>
      <c r="J452" s="12"/>
      <c r="K452" s="10" t="s">
        <v>31</v>
      </c>
      <c r="L452" s="10" t="s">
        <v>384</v>
      </c>
      <c r="M452" s="10" t="s">
        <v>160</v>
      </c>
      <c r="N452" s="10"/>
      <c r="O452" s="12" t="s">
        <v>38</v>
      </c>
      <c r="P452" s="41">
        <v>1200</v>
      </c>
      <c r="Q452" s="42">
        <v>2</v>
      </c>
      <c r="R452" s="12" t="s">
        <v>79</v>
      </c>
      <c r="S452" s="12" t="s">
        <v>83</v>
      </c>
      <c r="T452" s="12"/>
      <c r="U452" s="12"/>
      <c r="V452" s="12"/>
      <c r="W452" s="12"/>
      <c r="X452" s="12"/>
      <c r="Y452" s="12"/>
      <c r="Z452" s="12"/>
      <c r="AA452" s="12"/>
      <c r="AB452" s="12"/>
      <c r="AC452" s="12" t="str">
        <f>Table1[[#This Row],[City or Community (Santa Clara County)]]</f>
        <v>San Jose</v>
      </c>
      <c r="AD452" s="12">
        <f>COUNTIF(H:H,Table1[[#This Row],[City or Community (Santa Clara County)]])</f>
        <v>91</v>
      </c>
      <c r="AE452" s="12" t="str">
        <f>Table1[[#This Row],[Please select your county]]</f>
        <v>Santa Clara County</v>
      </c>
      <c r="AF452" s="41">
        <f>COUNTIF(AE:AE,Table1[[#This Row],[County]])</f>
        <v>192</v>
      </c>
      <c r="AG452" s="12">
        <v>2025</v>
      </c>
    </row>
    <row r="453" spans="1:33" ht="15.5" x14ac:dyDescent="0.35">
      <c r="A453" s="12">
        <v>660</v>
      </c>
      <c r="B453" s="12" t="s">
        <v>151</v>
      </c>
      <c r="C453" s="12"/>
      <c r="D453" s="12"/>
      <c r="E453" s="12"/>
      <c r="F453" s="12"/>
      <c r="G453" s="12"/>
      <c r="H453" s="12" t="s">
        <v>380</v>
      </c>
      <c r="I453" s="12"/>
      <c r="J453" s="12"/>
      <c r="K453" s="10" t="s">
        <v>31</v>
      </c>
      <c r="L453" s="10" t="s">
        <v>384</v>
      </c>
      <c r="M453" s="10" t="s">
        <v>159</v>
      </c>
      <c r="N453" s="10"/>
      <c r="O453" s="12" t="s">
        <v>38</v>
      </c>
      <c r="P453" s="41">
        <v>1200</v>
      </c>
      <c r="Q453" s="42">
        <v>2</v>
      </c>
      <c r="R453" s="12" t="s">
        <v>79</v>
      </c>
      <c r="S453" s="12" t="s">
        <v>389</v>
      </c>
      <c r="T453" s="12"/>
      <c r="U453" s="12"/>
      <c r="V453" s="12"/>
      <c r="W453" s="12"/>
      <c r="X453" s="12"/>
      <c r="Y453" s="12"/>
      <c r="Z453" s="12"/>
      <c r="AA453" s="12"/>
      <c r="AB453" s="12"/>
      <c r="AC453" s="12" t="str">
        <f>Table1[[#This Row],[City or Community (Santa Clara County)]]</f>
        <v>San Jose</v>
      </c>
      <c r="AD453" s="12">
        <f>COUNTIF(H:H,Table1[[#This Row],[City or Community (Santa Clara County)]])</f>
        <v>91</v>
      </c>
      <c r="AE453" s="12" t="str">
        <f>Table1[[#This Row],[Please select your county]]</f>
        <v>Santa Clara County</v>
      </c>
      <c r="AF453" s="41">
        <f>COUNTIF(AE:AE,Table1[[#This Row],[County]])</f>
        <v>192</v>
      </c>
      <c r="AG453" s="12">
        <v>2025</v>
      </c>
    </row>
    <row r="454" spans="1:33" ht="15.5" x14ac:dyDescent="0.35">
      <c r="A454" s="12">
        <v>689</v>
      </c>
      <c r="B454" s="12" t="s">
        <v>151</v>
      </c>
      <c r="C454" s="12"/>
      <c r="D454" s="12"/>
      <c r="E454" s="12"/>
      <c r="F454" s="12"/>
      <c r="G454" s="12"/>
      <c r="H454" s="12" t="s">
        <v>380</v>
      </c>
      <c r="I454" s="12"/>
      <c r="J454" s="12"/>
      <c r="K454" s="10" t="s">
        <v>386</v>
      </c>
      <c r="L454" s="10" t="s">
        <v>384</v>
      </c>
      <c r="M454" s="10" t="s">
        <v>160</v>
      </c>
      <c r="N454" s="10"/>
      <c r="O454" s="12" t="s">
        <v>38</v>
      </c>
      <c r="P454" s="41">
        <v>1200</v>
      </c>
      <c r="Q454" s="42">
        <v>2</v>
      </c>
      <c r="R454" t="s">
        <v>72</v>
      </c>
      <c r="S454" s="12" t="s">
        <v>382</v>
      </c>
      <c r="T454" s="12"/>
      <c r="U454" s="12"/>
      <c r="V454" s="12"/>
      <c r="W454" s="12"/>
      <c r="X454" s="12"/>
      <c r="Y454" s="12"/>
      <c r="Z454" s="12"/>
      <c r="AA454" s="12"/>
      <c r="AB454" s="12"/>
      <c r="AC454" s="12" t="str">
        <f>Table1[[#This Row],[City or Community (Santa Clara County)]]</f>
        <v>San Jose</v>
      </c>
      <c r="AD454" s="12">
        <f>COUNTIF(H:H,Table1[[#This Row],[City or Community (Santa Clara County)]])</f>
        <v>91</v>
      </c>
      <c r="AE454" s="12" t="str">
        <f>Table1[[#This Row],[Please select your county]]</f>
        <v>Santa Clara County</v>
      </c>
      <c r="AF454" s="41">
        <f>COUNTIF(AE:AE,Table1[[#This Row],[County]])</f>
        <v>192</v>
      </c>
      <c r="AG454" s="12">
        <v>2025</v>
      </c>
    </row>
    <row r="455" spans="1:33" ht="15.5" x14ac:dyDescent="0.35">
      <c r="A455" s="12">
        <v>684</v>
      </c>
      <c r="B455" s="12" t="s">
        <v>151</v>
      </c>
      <c r="C455" s="12"/>
      <c r="D455" s="12"/>
      <c r="E455" s="12"/>
      <c r="F455" s="12"/>
      <c r="G455" s="12"/>
      <c r="H455" s="12" t="s">
        <v>380</v>
      </c>
      <c r="I455" s="12"/>
      <c r="J455" s="12"/>
      <c r="K455" s="10" t="s">
        <v>29</v>
      </c>
      <c r="L455" s="10" t="s">
        <v>384</v>
      </c>
      <c r="M455" s="10" t="s">
        <v>160</v>
      </c>
      <c r="N455" s="10"/>
      <c r="O455" s="12" t="s">
        <v>38</v>
      </c>
      <c r="P455" s="41">
        <v>0</v>
      </c>
      <c r="Q455" s="42">
        <v>2</v>
      </c>
      <c r="R455" s="12" t="s">
        <v>79</v>
      </c>
      <c r="S455" s="12" t="s">
        <v>387</v>
      </c>
      <c r="T455" s="12"/>
      <c r="U455" s="12"/>
      <c r="V455" s="12"/>
      <c r="W455" s="12"/>
      <c r="X455" s="12"/>
      <c r="Y455" s="12"/>
      <c r="Z455" s="12"/>
      <c r="AA455" s="12"/>
      <c r="AB455" s="12"/>
      <c r="AC455" s="12" t="str">
        <f>Table1[[#This Row],[City or Community (Santa Clara County)]]</f>
        <v>San Jose</v>
      </c>
      <c r="AD455" s="12">
        <f>COUNTIF(H:H,Table1[[#This Row],[City or Community (Santa Clara County)]])</f>
        <v>91</v>
      </c>
      <c r="AE455" s="12" t="str">
        <f>Table1[[#This Row],[Please select your county]]</f>
        <v>Santa Clara County</v>
      </c>
      <c r="AF455" s="41">
        <f>COUNTIF(AE:AE,Table1[[#This Row],[County]])</f>
        <v>192</v>
      </c>
      <c r="AG455" s="12">
        <v>2025</v>
      </c>
    </row>
    <row r="456" spans="1:33" ht="15.5" x14ac:dyDescent="0.35">
      <c r="A456" s="12">
        <v>682</v>
      </c>
      <c r="B456" s="12" t="s">
        <v>151</v>
      </c>
      <c r="C456" s="12"/>
      <c r="D456" s="12"/>
      <c r="E456" s="12"/>
      <c r="F456" s="12"/>
      <c r="G456" s="12"/>
      <c r="H456" s="12" t="s">
        <v>380</v>
      </c>
      <c r="I456" s="12"/>
      <c r="J456" s="12"/>
      <c r="K456" s="10" t="s">
        <v>29</v>
      </c>
      <c r="L456" s="10" t="s">
        <v>381</v>
      </c>
      <c r="M456" s="10" t="s">
        <v>160</v>
      </c>
      <c r="N456" s="10"/>
      <c r="O456" s="12" t="s">
        <v>38</v>
      </c>
      <c r="P456" s="41">
        <v>0</v>
      </c>
      <c r="Q456" s="12" t="s">
        <v>271</v>
      </c>
      <c r="R456" s="12" t="s">
        <v>79</v>
      </c>
      <c r="S456" s="12" t="s">
        <v>395</v>
      </c>
      <c r="T456" s="12"/>
      <c r="U456" s="12"/>
      <c r="V456" s="12"/>
      <c r="W456" s="12"/>
      <c r="X456" s="12"/>
      <c r="Y456" s="12"/>
      <c r="Z456" s="12"/>
      <c r="AA456" s="12"/>
      <c r="AB456" s="12"/>
      <c r="AC456" s="12" t="str">
        <f>Table1[[#This Row],[City or Community (Santa Clara County)]]</f>
        <v>San Jose</v>
      </c>
      <c r="AD456" s="12">
        <f>COUNTIF(H:H,Table1[[#This Row],[City or Community (Santa Clara County)]])</f>
        <v>91</v>
      </c>
      <c r="AE456" s="12" t="str">
        <f>Table1[[#This Row],[Please select your county]]</f>
        <v>Santa Clara County</v>
      </c>
      <c r="AF456" s="41">
        <f>COUNTIF(AE:AE,Table1[[#This Row],[County]])</f>
        <v>192</v>
      </c>
      <c r="AG456" s="12">
        <v>2025</v>
      </c>
    </row>
    <row r="457" spans="1:33" ht="15.5" x14ac:dyDescent="0.35">
      <c r="A457" s="12">
        <v>687</v>
      </c>
      <c r="B457" s="12" t="s">
        <v>151</v>
      </c>
      <c r="C457" s="12"/>
      <c r="D457" s="12"/>
      <c r="E457" s="12"/>
      <c r="F457" s="12"/>
      <c r="G457" s="12"/>
      <c r="H457" s="12" t="s">
        <v>380</v>
      </c>
      <c r="I457" s="12"/>
      <c r="J457" s="12"/>
      <c r="K457" s="10" t="s">
        <v>31</v>
      </c>
      <c r="L457" s="10" t="s">
        <v>384</v>
      </c>
      <c r="M457" s="10" t="s">
        <v>160</v>
      </c>
      <c r="N457" s="10"/>
      <c r="O457" s="12" t="s">
        <v>38</v>
      </c>
      <c r="P457" s="41">
        <v>0</v>
      </c>
      <c r="Q457" s="42">
        <v>2</v>
      </c>
      <c r="R457" s="12" t="s">
        <v>79</v>
      </c>
      <c r="S457" s="12" t="s">
        <v>387</v>
      </c>
      <c r="T457" s="12"/>
      <c r="U457" s="12"/>
      <c r="V457" s="12"/>
      <c r="W457" s="12"/>
      <c r="X457" s="12"/>
      <c r="Y457" s="12"/>
      <c r="Z457" s="12"/>
      <c r="AA457" s="12"/>
      <c r="AB457" s="12"/>
      <c r="AC457" s="12" t="str">
        <f>Table1[[#This Row],[City or Community (Santa Clara County)]]</f>
        <v>San Jose</v>
      </c>
      <c r="AD457" s="12">
        <f>COUNTIF(H:H,Table1[[#This Row],[City or Community (Santa Clara County)]])</f>
        <v>91</v>
      </c>
      <c r="AE457" s="12" t="str">
        <f>Table1[[#This Row],[Please select your county]]</f>
        <v>Santa Clara County</v>
      </c>
      <c r="AF457" s="41">
        <f>COUNTIF(AE:AE,Table1[[#This Row],[County]])</f>
        <v>192</v>
      </c>
      <c r="AG457" s="12">
        <v>2025</v>
      </c>
    </row>
    <row r="458" spans="1:33" ht="15.5" x14ac:dyDescent="0.35">
      <c r="A458" s="12">
        <v>285</v>
      </c>
      <c r="B458" s="12" t="s">
        <v>151</v>
      </c>
      <c r="C458" s="12"/>
      <c r="D458" s="12"/>
      <c r="E458" s="12"/>
      <c r="F458" s="12"/>
      <c r="G458" s="12"/>
      <c r="H458" s="12" t="s">
        <v>399</v>
      </c>
      <c r="I458" s="12"/>
      <c r="J458" s="12"/>
      <c r="K458" s="10" t="s">
        <v>274</v>
      </c>
      <c r="L458" s="10"/>
      <c r="M458" s="10"/>
      <c r="N458" s="10"/>
      <c r="O458" s="12" t="s">
        <v>38</v>
      </c>
      <c r="P458" s="12">
        <v>362</v>
      </c>
      <c r="Q458" s="12" t="s">
        <v>271</v>
      </c>
      <c r="R458" s="12" t="s">
        <v>79</v>
      </c>
      <c r="S458" s="12" t="s">
        <v>272</v>
      </c>
      <c r="T458" s="12" t="s">
        <v>159</v>
      </c>
      <c r="U458" s="12" t="s">
        <v>159</v>
      </c>
      <c r="V458" s="12" t="s">
        <v>163</v>
      </c>
      <c r="W458" s="12" t="s">
        <v>400</v>
      </c>
      <c r="X458" s="12"/>
      <c r="Y458" s="12" t="s">
        <v>290</v>
      </c>
      <c r="Z458" s="12"/>
      <c r="AA458" s="12" t="s">
        <v>286</v>
      </c>
      <c r="AB458" s="12" t="s">
        <v>188</v>
      </c>
      <c r="AC458" s="12" t="str">
        <f>Table1[[#This Row],[City or Community (Santa Clara County)]]</f>
        <v>Cupertino</v>
      </c>
      <c r="AD458" s="12">
        <f>COUNTIF(H:H,Table1[[#This Row],[City or Community (Santa Clara County)]])</f>
        <v>55</v>
      </c>
      <c r="AE458" s="12" t="str">
        <f>Table1[[#This Row],[Please select your county]]</f>
        <v>Santa Clara County</v>
      </c>
      <c r="AF458" s="41">
        <f>COUNTIF(AE:AE,Table1[[#This Row],[County]])</f>
        <v>192</v>
      </c>
      <c r="AG458" s="12">
        <v>2025</v>
      </c>
    </row>
    <row r="459" spans="1:33" ht="31" x14ac:dyDescent="0.35">
      <c r="A459" s="12">
        <v>518</v>
      </c>
      <c r="B459" s="12" t="s">
        <v>151</v>
      </c>
      <c r="C459" s="12"/>
      <c r="D459" s="12"/>
      <c r="E459" s="12"/>
      <c r="F459" s="12"/>
      <c r="G459" s="12"/>
      <c r="H459" s="12" t="s">
        <v>399</v>
      </c>
      <c r="I459" s="12"/>
      <c r="J459" s="12"/>
      <c r="K459" s="10" t="s">
        <v>287</v>
      </c>
      <c r="L459" s="10" t="s">
        <v>268</v>
      </c>
      <c r="M459" s="10" t="s">
        <v>269</v>
      </c>
      <c r="N459" s="10" t="s">
        <v>280</v>
      </c>
      <c r="O459" s="12" t="s">
        <v>38</v>
      </c>
      <c r="P459" s="12">
        <v>380</v>
      </c>
      <c r="Q459" s="12" t="s">
        <v>281</v>
      </c>
      <c r="R459" s="12" t="s">
        <v>79</v>
      </c>
      <c r="S459" s="12" t="s">
        <v>304</v>
      </c>
      <c r="T459" s="12" t="s">
        <v>159</v>
      </c>
      <c r="U459" s="12" t="s">
        <v>160</v>
      </c>
      <c r="V459" s="12"/>
      <c r="W459" s="12"/>
      <c r="X459" s="12"/>
      <c r="Y459" s="12"/>
      <c r="Z459" s="12"/>
      <c r="AA459" s="12"/>
      <c r="AB459" s="12"/>
      <c r="AC459" s="12" t="str">
        <f>Table1[[#This Row],[City or Community (Santa Clara County)]]</f>
        <v>Cupertino</v>
      </c>
      <c r="AD459" s="12">
        <f>COUNTIF(H:H,Table1[[#This Row],[City or Community (Santa Clara County)]])</f>
        <v>55</v>
      </c>
      <c r="AE459" s="12" t="str">
        <f>Table1[[#This Row],[Please select your county]]</f>
        <v>Santa Clara County</v>
      </c>
      <c r="AF459" s="41">
        <f>COUNTIF(AE:AE,Table1[[#This Row],[County]])</f>
        <v>192</v>
      </c>
      <c r="AG459" s="12">
        <v>2025</v>
      </c>
    </row>
    <row r="460" spans="1:33" ht="31" x14ac:dyDescent="0.35">
      <c r="A460" s="12">
        <v>550</v>
      </c>
      <c r="B460" s="12" t="s">
        <v>151</v>
      </c>
      <c r="C460" s="12"/>
      <c r="D460" s="12"/>
      <c r="E460" s="12"/>
      <c r="F460" s="12"/>
      <c r="G460" s="12"/>
      <c r="H460" s="12" t="s">
        <v>399</v>
      </c>
      <c r="I460" s="12"/>
      <c r="J460" s="12"/>
      <c r="K460" s="10" t="s">
        <v>274</v>
      </c>
      <c r="L460" s="10" t="s">
        <v>279</v>
      </c>
      <c r="M460" s="10" t="s">
        <v>269</v>
      </c>
      <c r="N460" s="10" t="s">
        <v>280</v>
      </c>
      <c r="O460" s="12" t="s">
        <v>38</v>
      </c>
      <c r="P460" s="12">
        <v>400</v>
      </c>
      <c r="Q460" s="12" t="s">
        <v>271</v>
      </c>
      <c r="R460" s="12" t="s">
        <v>79</v>
      </c>
      <c r="S460" s="12" t="s">
        <v>276</v>
      </c>
      <c r="T460" s="12" t="s">
        <v>159</v>
      </c>
      <c r="U460" s="12" t="s">
        <v>160</v>
      </c>
      <c r="V460" s="12"/>
      <c r="W460" s="12"/>
      <c r="X460" s="12"/>
      <c r="Y460" s="12"/>
      <c r="Z460" s="12"/>
      <c r="AA460" s="12"/>
      <c r="AB460" s="12"/>
      <c r="AC460" s="12" t="str">
        <f>Table1[[#This Row],[City or Community (Santa Clara County)]]</f>
        <v>Cupertino</v>
      </c>
      <c r="AD460" s="12">
        <f>COUNTIF(H:H,Table1[[#This Row],[City or Community (Santa Clara County)]])</f>
        <v>55</v>
      </c>
      <c r="AE460" s="12" t="str">
        <f>Table1[[#This Row],[Please select your county]]</f>
        <v>Santa Clara County</v>
      </c>
      <c r="AF460" s="41">
        <f>COUNTIF(AE:AE,Table1[[#This Row],[County]])</f>
        <v>192</v>
      </c>
      <c r="AG460" s="12">
        <v>2025</v>
      </c>
    </row>
    <row r="461" spans="1:33" ht="15.5" x14ac:dyDescent="0.35">
      <c r="A461" s="12">
        <v>593</v>
      </c>
      <c r="B461" s="12" t="s">
        <v>151</v>
      </c>
      <c r="C461" s="12"/>
      <c r="D461" s="12"/>
      <c r="E461" s="12"/>
      <c r="F461" s="12"/>
      <c r="G461" s="12"/>
      <c r="H461" s="12" t="s">
        <v>399</v>
      </c>
      <c r="I461" s="12"/>
      <c r="J461" s="12"/>
      <c r="K461" s="12" t="s">
        <v>283</v>
      </c>
      <c r="L461" s="12" t="s">
        <v>277</v>
      </c>
      <c r="M461" s="12" t="s">
        <v>269</v>
      </c>
      <c r="N461" s="12" t="s">
        <v>278</v>
      </c>
      <c r="O461" s="12" t="s">
        <v>38</v>
      </c>
      <c r="P461" s="12">
        <v>400</v>
      </c>
      <c r="Q461" s="12" t="s">
        <v>281</v>
      </c>
      <c r="R461" s="12" t="s">
        <v>73</v>
      </c>
      <c r="S461" s="12" t="s">
        <v>298</v>
      </c>
      <c r="T461" s="12" t="s">
        <v>159</v>
      </c>
      <c r="U461" s="12" t="s">
        <v>160</v>
      </c>
      <c r="V461" s="12"/>
      <c r="W461" s="12"/>
      <c r="X461" s="12"/>
      <c r="Y461" s="12"/>
      <c r="Z461" s="12"/>
      <c r="AA461" s="12"/>
      <c r="AB461" s="12"/>
      <c r="AC461" s="12" t="str">
        <f>Table1[[#This Row],[City or Community (Santa Clara County)]]</f>
        <v>Cupertino</v>
      </c>
      <c r="AD461" s="12">
        <f>COUNTIF(H:H,Table1[[#This Row],[City or Community (Santa Clara County)]])</f>
        <v>55</v>
      </c>
      <c r="AE461" s="12" t="str">
        <f>Table1[[#This Row],[Please select your county]]</f>
        <v>Santa Clara County</v>
      </c>
      <c r="AF461" s="41">
        <f>COUNTIF(AE:AE,Table1[[#This Row],[County]])</f>
        <v>192</v>
      </c>
      <c r="AG461" s="12">
        <v>2025</v>
      </c>
    </row>
    <row r="462" spans="1:33" ht="31" x14ac:dyDescent="0.35">
      <c r="A462" s="12">
        <v>594</v>
      </c>
      <c r="B462" s="12" t="s">
        <v>151</v>
      </c>
      <c r="C462" s="12"/>
      <c r="D462" s="12"/>
      <c r="E462" s="12"/>
      <c r="F462" s="12"/>
      <c r="G462" s="12"/>
      <c r="H462" s="12" t="s">
        <v>399</v>
      </c>
      <c r="I462" s="12"/>
      <c r="J462" s="12"/>
      <c r="K462" s="10" t="s">
        <v>294</v>
      </c>
      <c r="L462" s="10" t="s">
        <v>277</v>
      </c>
      <c r="M462" s="10" t="s">
        <v>269</v>
      </c>
      <c r="N462" s="10" t="s">
        <v>278</v>
      </c>
      <c r="O462" s="12" t="s">
        <v>38</v>
      </c>
      <c r="P462" s="12">
        <v>400</v>
      </c>
      <c r="Q462" s="12" t="s">
        <v>281</v>
      </c>
      <c r="R462" s="12" t="s">
        <v>165</v>
      </c>
      <c r="S462" s="12" t="s">
        <v>276</v>
      </c>
      <c r="T462" s="12" t="s">
        <v>159</v>
      </c>
      <c r="U462" s="12" t="s">
        <v>160</v>
      </c>
      <c r="V462" s="12"/>
      <c r="W462" s="12"/>
      <c r="X462" s="12"/>
      <c r="Y462" s="12"/>
      <c r="Z462" s="12"/>
      <c r="AA462" s="12"/>
      <c r="AB462" s="12"/>
      <c r="AC462" s="12" t="str">
        <f>Table1[[#This Row],[City or Community (Santa Clara County)]]</f>
        <v>Cupertino</v>
      </c>
      <c r="AD462" s="12">
        <f>COUNTIF(H:H,Table1[[#This Row],[City or Community (Santa Clara County)]])</f>
        <v>55</v>
      </c>
      <c r="AE462" s="12" t="str">
        <f>Table1[[#This Row],[Please select your county]]</f>
        <v>Santa Clara County</v>
      </c>
      <c r="AF462" s="41">
        <f>COUNTIF(AE:AE,Table1[[#This Row],[County]])</f>
        <v>192</v>
      </c>
      <c r="AG462" s="12">
        <v>2025</v>
      </c>
    </row>
    <row r="463" spans="1:33" ht="15.5" x14ac:dyDescent="0.35">
      <c r="A463" s="12">
        <v>236</v>
      </c>
      <c r="B463" s="12" t="s">
        <v>151</v>
      </c>
      <c r="C463" s="12"/>
      <c r="D463" s="12"/>
      <c r="E463" s="12"/>
      <c r="F463" s="12"/>
      <c r="G463" s="12"/>
      <c r="H463" s="12" t="s">
        <v>399</v>
      </c>
      <c r="I463" s="12"/>
      <c r="J463" s="12"/>
      <c r="K463" s="10" t="s">
        <v>274</v>
      </c>
      <c r="L463" s="10"/>
      <c r="M463" s="10"/>
      <c r="N463" s="10"/>
      <c r="O463" s="12" t="s">
        <v>38</v>
      </c>
      <c r="P463" s="12">
        <v>404</v>
      </c>
      <c r="Q463" s="12" t="s">
        <v>271</v>
      </c>
      <c r="R463" s="12" t="s">
        <v>79</v>
      </c>
      <c r="S463" s="12" t="s">
        <v>272</v>
      </c>
      <c r="T463" s="12" t="s">
        <v>159</v>
      </c>
      <c r="U463" s="12" t="s">
        <v>160</v>
      </c>
      <c r="V463" s="12"/>
      <c r="W463" s="12"/>
      <c r="X463" s="12"/>
      <c r="Y463" s="12"/>
      <c r="Z463" s="12"/>
      <c r="AA463" s="12"/>
      <c r="AB463" s="12"/>
      <c r="AC463" s="12" t="str">
        <f>Table1[[#This Row],[City or Community (Santa Clara County)]]</f>
        <v>Cupertino</v>
      </c>
      <c r="AD463" s="12">
        <f>COUNTIF(H:H,Table1[[#This Row],[City or Community (Santa Clara County)]])</f>
        <v>55</v>
      </c>
      <c r="AE463" s="12" t="str">
        <f>Table1[[#This Row],[Please select your county]]</f>
        <v>Santa Clara County</v>
      </c>
      <c r="AF463" s="41">
        <f>COUNTIF(AE:AE,Table1[[#This Row],[County]])</f>
        <v>192</v>
      </c>
      <c r="AG463" s="12">
        <v>2025</v>
      </c>
    </row>
    <row r="464" spans="1:33" ht="15.5" x14ac:dyDescent="0.35">
      <c r="A464" s="12">
        <v>235</v>
      </c>
      <c r="B464" s="12" t="s">
        <v>151</v>
      </c>
      <c r="C464" s="12"/>
      <c r="D464" s="12"/>
      <c r="E464" s="12"/>
      <c r="F464" s="12"/>
      <c r="G464" s="12"/>
      <c r="H464" s="12" t="s">
        <v>399</v>
      </c>
      <c r="I464" s="12"/>
      <c r="J464" s="12"/>
      <c r="K464" s="10" t="s">
        <v>274</v>
      </c>
      <c r="L464" s="10"/>
      <c r="M464" s="10"/>
      <c r="N464" s="10"/>
      <c r="O464" s="12" t="s">
        <v>38</v>
      </c>
      <c r="P464" s="12">
        <v>409</v>
      </c>
      <c r="Q464" s="12" t="s">
        <v>271</v>
      </c>
      <c r="R464" s="12" t="s">
        <v>79</v>
      </c>
      <c r="S464" s="12" t="s">
        <v>272</v>
      </c>
      <c r="T464" s="12" t="s">
        <v>159</v>
      </c>
      <c r="U464" s="12" t="s">
        <v>160</v>
      </c>
      <c r="V464" s="12"/>
      <c r="W464" s="12"/>
      <c r="X464" s="12"/>
      <c r="Y464" s="12"/>
      <c r="Z464" s="12"/>
      <c r="AA464" s="12"/>
      <c r="AB464" s="12"/>
      <c r="AC464" s="12" t="str">
        <f>Table1[[#This Row],[City or Community (Santa Clara County)]]</f>
        <v>Cupertino</v>
      </c>
      <c r="AD464" s="12">
        <f>COUNTIF(H:H,Table1[[#This Row],[City or Community (Santa Clara County)]])</f>
        <v>55</v>
      </c>
      <c r="AE464" s="12" t="str">
        <f>Table1[[#This Row],[Please select your county]]</f>
        <v>Santa Clara County</v>
      </c>
      <c r="AF464" s="41">
        <f>COUNTIF(AE:AE,Table1[[#This Row],[County]])</f>
        <v>192</v>
      </c>
      <c r="AG464" s="12">
        <v>2025</v>
      </c>
    </row>
    <row r="465" spans="1:33" ht="15.5" x14ac:dyDescent="0.35">
      <c r="A465" s="12">
        <v>237</v>
      </c>
      <c r="B465" s="12" t="s">
        <v>151</v>
      </c>
      <c r="C465" s="12"/>
      <c r="D465" s="12"/>
      <c r="E465" s="12"/>
      <c r="F465" s="12"/>
      <c r="G465" s="12"/>
      <c r="H465" s="12" t="s">
        <v>399</v>
      </c>
      <c r="I465" s="12"/>
      <c r="J465" s="12"/>
      <c r="K465" s="10" t="s">
        <v>274</v>
      </c>
      <c r="L465" s="10"/>
      <c r="M465" s="10"/>
      <c r="N465" s="10"/>
      <c r="O465" s="12" t="s">
        <v>38</v>
      </c>
      <c r="P465" s="12">
        <v>409</v>
      </c>
      <c r="Q465" s="12" t="s">
        <v>271</v>
      </c>
      <c r="R465" s="12" t="s">
        <v>79</v>
      </c>
      <c r="S465" s="12" t="s">
        <v>272</v>
      </c>
      <c r="T465" s="12" t="s">
        <v>159</v>
      </c>
      <c r="U465" s="12" t="s">
        <v>160</v>
      </c>
      <c r="V465" s="12"/>
      <c r="W465" s="12"/>
      <c r="X465" s="12"/>
      <c r="Y465" s="12"/>
      <c r="Z465" s="12"/>
      <c r="AA465" s="12"/>
      <c r="AB465" s="12"/>
      <c r="AC465" s="12" t="str">
        <f>Table1[[#This Row],[City or Community (Santa Clara County)]]</f>
        <v>Cupertino</v>
      </c>
      <c r="AD465" s="12">
        <f>COUNTIF(H:H,Table1[[#This Row],[City or Community (Santa Clara County)]])</f>
        <v>55</v>
      </c>
      <c r="AE465" s="12" t="str">
        <f>Table1[[#This Row],[Please select your county]]</f>
        <v>Santa Clara County</v>
      </c>
      <c r="AF465" s="41">
        <f>COUNTIF(AE:AE,Table1[[#This Row],[County]])</f>
        <v>192</v>
      </c>
      <c r="AG465" s="12">
        <v>2025</v>
      </c>
    </row>
    <row r="466" spans="1:33" ht="15.5" x14ac:dyDescent="0.35">
      <c r="A466" s="12">
        <v>246</v>
      </c>
      <c r="B466" s="12" t="s">
        <v>151</v>
      </c>
      <c r="C466" s="12"/>
      <c r="D466" s="12"/>
      <c r="E466" s="12"/>
      <c r="F466" s="12"/>
      <c r="G466" s="12"/>
      <c r="H466" s="12" t="s">
        <v>399</v>
      </c>
      <c r="I466" s="12"/>
      <c r="J466" s="12"/>
      <c r="K466" s="10" t="s">
        <v>267</v>
      </c>
      <c r="L466" s="10"/>
      <c r="M466" s="10"/>
      <c r="N466" s="10"/>
      <c r="O466" s="12" t="s">
        <v>38</v>
      </c>
      <c r="P466" s="12">
        <v>450</v>
      </c>
      <c r="Q466" s="12" t="s">
        <v>281</v>
      </c>
      <c r="R466" s="12" t="s">
        <v>165</v>
      </c>
      <c r="S466" s="12" t="s">
        <v>315</v>
      </c>
      <c r="T466" s="12" t="s">
        <v>159</v>
      </c>
      <c r="U466" s="12" t="s">
        <v>160</v>
      </c>
      <c r="V466" s="12"/>
      <c r="W466" s="12"/>
      <c r="X466" s="12"/>
      <c r="Y466" s="12"/>
      <c r="Z466" s="12"/>
      <c r="AA466" s="12"/>
      <c r="AB466" s="12"/>
      <c r="AC466" s="12" t="str">
        <f>Table1[[#This Row],[City or Community (Santa Clara County)]]</f>
        <v>Cupertino</v>
      </c>
      <c r="AD466" s="12">
        <f>COUNTIF(H:H,Table1[[#This Row],[City or Community (Santa Clara County)]])</f>
        <v>55</v>
      </c>
      <c r="AE466" s="12" t="str">
        <f>Table1[[#This Row],[Please select your county]]</f>
        <v>Santa Clara County</v>
      </c>
      <c r="AF466" s="41">
        <f>COUNTIF(AE:AE,Table1[[#This Row],[County]])</f>
        <v>192</v>
      </c>
      <c r="AG466" s="12">
        <v>2025</v>
      </c>
    </row>
    <row r="467" spans="1:33" ht="31" x14ac:dyDescent="0.35">
      <c r="A467" s="12">
        <v>276</v>
      </c>
      <c r="B467" s="12" t="s">
        <v>151</v>
      </c>
      <c r="C467" s="12"/>
      <c r="D467" s="12"/>
      <c r="E467" s="12"/>
      <c r="F467" s="12"/>
      <c r="G467" s="12"/>
      <c r="H467" s="12" t="s">
        <v>399</v>
      </c>
      <c r="I467" s="12"/>
      <c r="J467" s="12"/>
      <c r="K467" s="10" t="s">
        <v>331</v>
      </c>
      <c r="L467" s="10"/>
      <c r="M467" s="10"/>
      <c r="N467" s="10"/>
      <c r="O467" s="12" t="s">
        <v>38</v>
      </c>
      <c r="P467" s="12">
        <v>480</v>
      </c>
      <c r="Q467" s="12" t="s">
        <v>281</v>
      </c>
      <c r="R467" s="12" t="s">
        <v>69</v>
      </c>
      <c r="S467" s="12" t="s">
        <v>322</v>
      </c>
      <c r="T467" s="12" t="s">
        <v>159</v>
      </c>
      <c r="U467" s="12" t="s">
        <v>160</v>
      </c>
      <c r="V467" s="12"/>
      <c r="W467" s="12"/>
      <c r="X467" s="12"/>
      <c r="Y467" s="12"/>
      <c r="Z467" s="12"/>
      <c r="AA467" s="12"/>
      <c r="AB467" s="12"/>
      <c r="AC467" s="12" t="str">
        <f>Table1[[#This Row],[City or Community (Santa Clara County)]]</f>
        <v>Cupertino</v>
      </c>
      <c r="AD467" s="12">
        <f>COUNTIF(H:H,Table1[[#This Row],[City or Community (Santa Clara County)]])</f>
        <v>55</v>
      </c>
      <c r="AE467" s="12" t="str">
        <f>Table1[[#This Row],[Please select your county]]</f>
        <v>Santa Clara County</v>
      </c>
      <c r="AF467" s="41">
        <f>COUNTIF(AE:AE,Table1[[#This Row],[County]])</f>
        <v>192</v>
      </c>
      <c r="AG467" s="12">
        <v>2025</v>
      </c>
    </row>
    <row r="468" spans="1:33" ht="15.5" x14ac:dyDescent="0.35">
      <c r="A468" s="12">
        <v>492</v>
      </c>
      <c r="B468" s="12" t="s">
        <v>151</v>
      </c>
      <c r="C468" s="12"/>
      <c r="D468" s="12"/>
      <c r="E468" s="12"/>
      <c r="F468" s="12"/>
      <c r="G468" s="12"/>
      <c r="H468" s="12" t="s">
        <v>399</v>
      </c>
      <c r="I468" s="12"/>
      <c r="J468" s="12"/>
      <c r="K468" s="12" t="s">
        <v>267</v>
      </c>
      <c r="L468" s="12" t="s">
        <v>279</v>
      </c>
      <c r="M468" s="12" t="s">
        <v>401</v>
      </c>
      <c r="N468" s="12" t="s">
        <v>280</v>
      </c>
      <c r="O468" s="12" t="s">
        <v>38</v>
      </c>
      <c r="P468" s="12">
        <v>490</v>
      </c>
      <c r="Q468" s="12" t="s">
        <v>281</v>
      </c>
      <c r="R468" s="12" t="s">
        <v>70</v>
      </c>
      <c r="S468" s="12" t="s">
        <v>298</v>
      </c>
      <c r="T468" s="12" t="s">
        <v>159</v>
      </c>
      <c r="U468" s="12" t="s">
        <v>159</v>
      </c>
      <c r="V468" s="12" t="s">
        <v>162</v>
      </c>
      <c r="W468" s="12" t="s">
        <v>299</v>
      </c>
      <c r="X468" s="12"/>
      <c r="Y468" s="12" t="s">
        <v>290</v>
      </c>
      <c r="Z468" s="12"/>
      <c r="AA468" s="12" t="s">
        <v>295</v>
      </c>
      <c r="AB468" s="12" t="s">
        <v>190</v>
      </c>
      <c r="AC468" s="12" t="str">
        <f>Table1[[#This Row],[City or Community (Santa Clara County)]]</f>
        <v>Cupertino</v>
      </c>
      <c r="AD468" s="12">
        <f>COUNTIF(H:H,Table1[[#This Row],[City or Community (Santa Clara County)]])</f>
        <v>55</v>
      </c>
      <c r="AE468" s="12" t="str">
        <f>Table1[[#This Row],[Please select your county]]</f>
        <v>Santa Clara County</v>
      </c>
      <c r="AF468" s="41">
        <f>COUNTIF(AE:AE,Table1[[#This Row],[County]])</f>
        <v>192</v>
      </c>
      <c r="AG468" s="12">
        <v>2025</v>
      </c>
    </row>
    <row r="469" spans="1:33" ht="15.5" x14ac:dyDescent="0.35">
      <c r="A469" s="12">
        <v>460</v>
      </c>
      <c r="B469" s="12" t="s">
        <v>151</v>
      </c>
      <c r="C469" s="12"/>
      <c r="D469" s="12"/>
      <c r="E469" s="12"/>
      <c r="F469" s="12"/>
      <c r="G469" s="12"/>
      <c r="H469" s="12" t="s">
        <v>399</v>
      </c>
      <c r="I469" s="12"/>
      <c r="J469" s="12"/>
      <c r="K469" s="10" t="s">
        <v>273</v>
      </c>
      <c r="L469" s="12" t="s">
        <v>277</v>
      </c>
      <c r="M469" s="12" t="s">
        <v>269</v>
      </c>
      <c r="N469" s="12" t="s">
        <v>280</v>
      </c>
      <c r="O469" s="12" t="s">
        <v>39</v>
      </c>
      <c r="P469" s="12">
        <v>497.98</v>
      </c>
      <c r="Q469" s="12" t="s">
        <v>281</v>
      </c>
      <c r="R469" s="12" t="s">
        <v>76</v>
      </c>
      <c r="S469" s="12" t="s">
        <v>276</v>
      </c>
      <c r="T469" s="12" t="s">
        <v>159</v>
      </c>
      <c r="U469" s="12" t="s">
        <v>160</v>
      </c>
      <c r="V469" s="12"/>
      <c r="W469" s="12"/>
      <c r="X469" s="12"/>
      <c r="Y469" s="12"/>
      <c r="Z469" s="12"/>
      <c r="AA469" s="12"/>
      <c r="AB469" s="12"/>
      <c r="AC469" s="12" t="str">
        <f>Table1[[#This Row],[City or Community (Santa Clara County)]]</f>
        <v>Cupertino</v>
      </c>
      <c r="AD469" s="12">
        <f>COUNTIF(H:H,Table1[[#This Row],[City or Community (Santa Clara County)]])</f>
        <v>55</v>
      </c>
      <c r="AE469" s="12" t="str">
        <f>Table1[[#This Row],[Please select your county]]</f>
        <v>Santa Clara County</v>
      </c>
      <c r="AF469" s="41">
        <f>COUNTIF(AE:AE,Table1[[#This Row],[County]])</f>
        <v>192</v>
      </c>
      <c r="AG469" s="12">
        <v>2025</v>
      </c>
    </row>
    <row r="470" spans="1:33" ht="31" x14ac:dyDescent="0.35">
      <c r="A470" s="12">
        <v>551</v>
      </c>
      <c r="B470" s="12" t="s">
        <v>151</v>
      </c>
      <c r="C470" s="12"/>
      <c r="D470" s="12"/>
      <c r="E470" s="12"/>
      <c r="F470" s="12"/>
      <c r="G470" s="12"/>
      <c r="H470" s="12" t="s">
        <v>399</v>
      </c>
      <c r="I470" s="12"/>
      <c r="J470" s="12"/>
      <c r="K470" s="10" t="s">
        <v>274</v>
      </c>
      <c r="L470" s="10" t="s">
        <v>277</v>
      </c>
      <c r="M470" s="10" t="s">
        <v>269</v>
      </c>
      <c r="N470" s="10" t="s">
        <v>278</v>
      </c>
      <c r="O470" s="12" t="s">
        <v>38</v>
      </c>
      <c r="P470" s="12">
        <v>500</v>
      </c>
      <c r="Q470" s="12" t="s">
        <v>281</v>
      </c>
      <c r="R470" s="12" t="s">
        <v>165</v>
      </c>
      <c r="S470" s="12" t="s">
        <v>276</v>
      </c>
      <c r="T470" s="12" t="s">
        <v>83</v>
      </c>
      <c r="U470" s="12" t="s">
        <v>160</v>
      </c>
      <c r="V470" s="12"/>
      <c r="W470" s="12"/>
      <c r="X470" s="12"/>
      <c r="Y470" s="12"/>
      <c r="Z470" s="12"/>
      <c r="AA470" s="12"/>
      <c r="AB470" s="12"/>
      <c r="AC470" s="12" t="str">
        <f>Table1[[#This Row],[City or Community (Santa Clara County)]]</f>
        <v>Cupertino</v>
      </c>
      <c r="AD470" s="12">
        <f>COUNTIF(H:H,Table1[[#This Row],[City or Community (Santa Clara County)]])</f>
        <v>55</v>
      </c>
      <c r="AE470" s="12" t="str">
        <f>Table1[[#This Row],[Please select your county]]</f>
        <v>Santa Clara County</v>
      </c>
      <c r="AF470" s="41">
        <f>COUNTIF(AE:AE,Table1[[#This Row],[County]])</f>
        <v>192</v>
      </c>
      <c r="AG470" s="12">
        <v>2025</v>
      </c>
    </row>
    <row r="471" spans="1:33" ht="15.5" x14ac:dyDescent="0.35">
      <c r="A471" s="12">
        <v>586</v>
      </c>
      <c r="B471" s="12" t="s">
        <v>151</v>
      </c>
      <c r="C471" s="12"/>
      <c r="D471" s="12"/>
      <c r="E471" s="12"/>
      <c r="F471" s="12"/>
      <c r="G471" s="12"/>
      <c r="H471" s="12" t="s">
        <v>399</v>
      </c>
      <c r="I471" s="12"/>
      <c r="J471" s="12"/>
      <c r="K471" s="12" t="s">
        <v>402</v>
      </c>
      <c r="L471" s="12" t="s">
        <v>279</v>
      </c>
      <c r="M471" s="12" t="s">
        <v>269</v>
      </c>
      <c r="N471" s="12" t="s">
        <v>280</v>
      </c>
      <c r="O471" s="12" t="s">
        <v>38</v>
      </c>
      <c r="P471" s="12">
        <v>500</v>
      </c>
      <c r="Q471" s="12" t="s">
        <v>281</v>
      </c>
      <c r="R471" s="12" t="s">
        <v>68</v>
      </c>
      <c r="S471" s="12" t="s">
        <v>272</v>
      </c>
      <c r="T471" s="12" t="s">
        <v>159</v>
      </c>
      <c r="U471" s="12" t="s">
        <v>160</v>
      </c>
      <c r="V471" s="12"/>
      <c r="W471" s="12"/>
      <c r="X471" s="12"/>
      <c r="Y471" s="12"/>
      <c r="Z471" s="12"/>
      <c r="AA471" s="12"/>
      <c r="AB471" s="12"/>
      <c r="AC471" s="12" t="str">
        <f>Table1[[#This Row],[City or Community (Santa Clara County)]]</f>
        <v>Cupertino</v>
      </c>
      <c r="AD471" s="12">
        <f>COUNTIF(H:H,Table1[[#This Row],[City or Community (Santa Clara County)]])</f>
        <v>55</v>
      </c>
      <c r="AE471" s="12" t="str">
        <f>Table1[[#This Row],[Please select your county]]</f>
        <v>Santa Clara County</v>
      </c>
      <c r="AF471" s="41">
        <f>COUNTIF(AE:AE,Table1[[#This Row],[County]])</f>
        <v>192</v>
      </c>
      <c r="AG471" s="12">
        <v>2025</v>
      </c>
    </row>
    <row r="472" spans="1:33" ht="15.5" x14ac:dyDescent="0.35">
      <c r="A472" s="12">
        <v>108</v>
      </c>
      <c r="B472" s="12" t="s">
        <v>151</v>
      </c>
      <c r="C472" s="12"/>
      <c r="D472" s="12"/>
      <c r="E472" s="12"/>
      <c r="F472" s="12"/>
      <c r="G472" s="12"/>
      <c r="H472" s="12" t="s">
        <v>399</v>
      </c>
      <c r="I472" s="12"/>
      <c r="J472" s="12"/>
      <c r="K472" s="10" t="s">
        <v>267</v>
      </c>
      <c r="L472" s="10"/>
      <c r="M472" s="10"/>
      <c r="N472" s="10"/>
      <c r="O472" s="12" t="s">
        <v>38</v>
      </c>
      <c r="P472" s="12">
        <v>500</v>
      </c>
      <c r="Q472" s="12" t="s">
        <v>281</v>
      </c>
      <c r="R472" s="12" t="s">
        <v>69</v>
      </c>
      <c r="S472" s="12" t="s">
        <v>298</v>
      </c>
      <c r="T472" s="12" t="s">
        <v>159</v>
      </c>
      <c r="U472" s="12" t="s">
        <v>160</v>
      </c>
      <c r="V472" s="12"/>
      <c r="W472" s="12"/>
      <c r="X472" s="12"/>
      <c r="Y472" s="12"/>
      <c r="Z472" s="12"/>
      <c r="AA472" s="12"/>
      <c r="AB472" s="12"/>
      <c r="AC472" s="12" t="str">
        <f>Table1[[#This Row],[City or Community (Santa Clara County)]]</f>
        <v>Cupertino</v>
      </c>
      <c r="AD472" s="12">
        <f>COUNTIF(H:H,Table1[[#This Row],[City or Community (Santa Clara County)]])</f>
        <v>55</v>
      </c>
      <c r="AE472" s="12" t="str">
        <f>Table1[[#This Row],[Please select your county]]</f>
        <v>Santa Clara County</v>
      </c>
      <c r="AF472" s="41">
        <f>COUNTIF(AE:AE,Table1[[#This Row],[County]])</f>
        <v>192</v>
      </c>
      <c r="AG472" s="12">
        <v>2025</v>
      </c>
    </row>
    <row r="473" spans="1:33" ht="31" x14ac:dyDescent="0.35">
      <c r="A473" s="12">
        <v>497</v>
      </c>
      <c r="B473" s="12" t="s">
        <v>151</v>
      </c>
      <c r="C473" s="12"/>
      <c r="D473" s="12"/>
      <c r="E473" s="12"/>
      <c r="F473" s="12"/>
      <c r="G473" s="12"/>
      <c r="H473" s="12" t="s">
        <v>399</v>
      </c>
      <c r="I473" s="12"/>
      <c r="J473" s="12"/>
      <c r="K473" s="10" t="s">
        <v>274</v>
      </c>
      <c r="L473" s="10" t="s">
        <v>277</v>
      </c>
      <c r="M473" s="10" t="s">
        <v>269</v>
      </c>
      <c r="N473" s="10" t="s">
        <v>280</v>
      </c>
      <c r="O473" s="12" t="s">
        <v>38</v>
      </c>
      <c r="P473" s="12">
        <v>530</v>
      </c>
      <c r="Q473" s="12" t="s">
        <v>281</v>
      </c>
      <c r="R473" s="12" t="s">
        <v>165</v>
      </c>
      <c r="S473" s="12" t="s">
        <v>276</v>
      </c>
      <c r="T473" s="12" t="s">
        <v>159</v>
      </c>
      <c r="U473" s="12" t="s">
        <v>160</v>
      </c>
      <c r="V473" s="12"/>
      <c r="W473" s="12"/>
      <c r="X473" s="12"/>
      <c r="Y473" s="12"/>
      <c r="Z473" s="12"/>
      <c r="AA473" s="12"/>
      <c r="AB473" s="12"/>
      <c r="AC473" s="12" t="str">
        <f>Table1[[#This Row],[City or Community (Santa Clara County)]]</f>
        <v>Cupertino</v>
      </c>
      <c r="AD473" s="12">
        <f>COUNTIF(H:H,Table1[[#This Row],[City or Community (Santa Clara County)]])</f>
        <v>55</v>
      </c>
      <c r="AE473" s="12" t="str">
        <f>Table1[[#This Row],[Please select your county]]</f>
        <v>Santa Clara County</v>
      </c>
      <c r="AF473" s="41">
        <f>COUNTIF(AE:AE,Table1[[#This Row],[County]])</f>
        <v>192</v>
      </c>
      <c r="AG473" s="12">
        <v>2025</v>
      </c>
    </row>
    <row r="474" spans="1:33" ht="15.5" x14ac:dyDescent="0.35">
      <c r="A474" s="12">
        <v>286</v>
      </c>
      <c r="B474" s="12" t="s">
        <v>151</v>
      </c>
      <c r="C474" s="12"/>
      <c r="D474" s="12"/>
      <c r="E474" s="12"/>
      <c r="F474" s="12"/>
      <c r="G474" s="12"/>
      <c r="H474" s="12" t="s">
        <v>399</v>
      </c>
      <c r="I474" s="12"/>
      <c r="J474" s="12"/>
      <c r="K474" s="10" t="s">
        <v>274</v>
      </c>
      <c r="L474" s="10"/>
      <c r="M474" s="10"/>
      <c r="N474" s="10"/>
      <c r="O474" s="12" t="s">
        <v>38</v>
      </c>
      <c r="P474" s="12">
        <v>545</v>
      </c>
      <c r="Q474" s="12" t="s">
        <v>281</v>
      </c>
      <c r="R474" s="12" t="s">
        <v>165</v>
      </c>
      <c r="S474" s="12" t="s">
        <v>276</v>
      </c>
      <c r="T474" s="12" t="s">
        <v>159</v>
      </c>
      <c r="U474" s="12" t="s">
        <v>160</v>
      </c>
      <c r="V474" s="12"/>
      <c r="W474" s="12"/>
      <c r="X474" s="12"/>
      <c r="Y474" s="12"/>
      <c r="Z474" s="12"/>
      <c r="AA474" s="12"/>
      <c r="AB474" s="12"/>
      <c r="AC474" s="12" t="str">
        <f>Table1[[#This Row],[City or Community (Santa Clara County)]]</f>
        <v>Cupertino</v>
      </c>
      <c r="AD474" s="12">
        <f>COUNTIF(H:H,Table1[[#This Row],[City or Community (Santa Clara County)]])</f>
        <v>55</v>
      </c>
      <c r="AE474" s="12" t="str">
        <f>Table1[[#This Row],[Please select your county]]</f>
        <v>Santa Clara County</v>
      </c>
      <c r="AF474" s="41">
        <f>COUNTIF(AE:AE,Table1[[#This Row],[County]])</f>
        <v>192</v>
      </c>
      <c r="AG474" s="12">
        <v>2025</v>
      </c>
    </row>
    <row r="475" spans="1:33" ht="15.5" x14ac:dyDescent="0.35">
      <c r="A475" s="12">
        <v>301</v>
      </c>
      <c r="B475" s="12" t="s">
        <v>151</v>
      </c>
      <c r="C475" s="12"/>
      <c r="D475" s="12"/>
      <c r="E475" s="12"/>
      <c r="F475" s="12"/>
      <c r="G475" s="12"/>
      <c r="H475" s="12" t="s">
        <v>399</v>
      </c>
      <c r="I475" s="12"/>
      <c r="J475" s="12"/>
      <c r="K475" s="10" t="s">
        <v>274</v>
      </c>
      <c r="L475" s="10"/>
      <c r="M475" s="10"/>
      <c r="N475" s="10"/>
      <c r="O475" s="12" t="s">
        <v>38</v>
      </c>
      <c r="P475" s="12">
        <v>550</v>
      </c>
      <c r="Q475" s="12" t="s">
        <v>271</v>
      </c>
      <c r="R475" s="12" t="s">
        <v>79</v>
      </c>
      <c r="S475" s="12" t="s">
        <v>276</v>
      </c>
      <c r="T475" s="12" t="s">
        <v>83</v>
      </c>
      <c r="U475" s="12" t="s">
        <v>160</v>
      </c>
      <c r="V475" s="12"/>
      <c r="W475" s="12"/>
      <c r="X475" s="12"/>
      <c r="Y475" s="12"/>
      <c r="Z475" s="12"/>
      <c r="AA475" s="12"/>
      <c r="AB475" s="12"/>
      <c r="AC475" s="12" t="str">
        <f>Table1[[#This Row],[City or Community (Santa Clara County)]]</f>
        <v>Cupertino</v>
      </c>
      <c r="AD475" s="12">
        <f>COUNTIF(H:H,Table1[[#This Row],[City or Community (Santa Clara County)]])</f>
        <v>55</v>
      </c>
      <c r="AE475" s="12" t="str">
        <f>Table1[[#This Row],[Please select your county]]</f>
        <v>Santa Clara County</v>
      </c>
      <c r="AF475" s="41">
        <f>COUNTIF(AE:AE,Table1[[#This Row],[County]])</f>
        <v>192</v>
      </c>
      <c r="AG475" s="12">
        <v>2025</v>
      </c>
    </row>
    <row r="476" spans="1:33" ht="31" x14ac:dyDescent="0.35">
      <c r="A476" s="12">
        <v>525</v>
      </c>
      <c r="B476" s="12" t="s">
        <v>151</v>
      </c>
      <c r="C476" s="12"/>
      <c r="D476" s="12"/>
      <c r="E476" s="12"/>
      <c r="F476" s="12"/>
      <c r="G476" s="12"/>
      <c r="H476" s="12" t="s">
        <v>399</v>
      </c>
      <c r="I476" s="12"/>
      <c r="J476" s="12"/>
      <c r="K476" s="10" t="s">
        <v>267</v>
      </c>
      <c r="L476" s="10" t="s">
        <v>279</v>
      </c>
      <c r="M476" s="10" t="s">
        <v>269</v>
      </c>
      <c r="N476" s="10" t="s">
        <v>280</v>
      </c>
      <c r="O476" s="12" t="s">
        <v>38</v>
      </c>
      <c r="P476" s="12">
        <v>550</v>
      </c>
      <c r="Q476" s="12" t="s">
        <v>281</v>
      </c>
      <c r="R476" s="12" t="s">
        <v>70</v>
      </c>
      <c r="S476" s="12" t="s">
        <v>393</v>
      </c>
      <c r="T476" s="12" t="s">
        <v>159</v>
      </c>
      <c r="U476" s="12" t="s">
        <v>160</v>
      </c>
      <c r="V476" s="12"/>
      <c r="W476" s="12"/>
      <c r="X476" s="12"/>
      <c r="Y476" s="12"/>
      <c r="Z476" s="12"/>
      <c r="AA476" s="12"/>
      <c r="AB476" s="12"/>
      <c r="AC476" s="12" t="str">
        <f>Table1[[#This Row],[City or Community (Santa Clara County)]]</f>
        <v>Cupertino</v>
      </c>
      <c r="AD476" s="12">
        <f>COUNTIF(H:H,Table1[[#This Row],[City or Community (Santa Clara County)]])</f>
        <v>55</v>
      </c>
      <c r="AE476" s="12" t="str">
        <f>Table1[[#This Row],[Please select your county]]</f>
        <v>Santa Clara County</v>
      </c>
      <c r="AF476" s="41">
        <f>COUNTIF(AE:AE,Table1[[#This Row],[County]])</f>
        <v>192</v>
      </c>
      <c r="AG476" s="12">
        <v>2025</v>
      </c>
    </row>
    <row r="477" spans="1:33" ht="31" x14ac:dyDescent="0.35">
      <c r="A477" s="12">
        <v>361</v>
      </c>
      <c r="B477" s="12" t="s">
        <v>151</v>
      </c>
      <c r="C477" s="12"/>
      <c r="D477" s="12"/>
      <c r="E477" s="12"/>
      <c r="F477" s="12"/>
      <c r="G477" s="12"/>
      <c r="H477" s="12" t="s">
        <v>399</v>
      </c>
      <c r="I477" s="12"/>
      <c r="J477" s="12"/>
      <c r="K477" s="10" t="s">
        <v>267</v>
      </c>
      <c r="L477" s="10" t="s">
        <v>277</v>
      </c>
      <c r="M477" s="10" t="s">
        <v>269</v>
      </c>
      <c r="N477" s="10" t="s">
        <v>278</v>
      </c>
      <c r="O477" s="12" t="s">
        <v>38</v>
      </c>
      <c r="P477" s="12">
        <v>577</v>
      </c>
      <c r="Q477" s="12" t="s">
        <v>281</v>
      </c>
      <c r="R477" s="12" t="s">
        <v>70</v>
      </c>
      <c r="S477" s="12" t="s">
        <v>298</v>
      </c>
      <c r="T477" s="12" t="s">
        <v>159</v>
      </c>
      <c r="U477" s="12" t="s">
        <v>160</v>
      </c>
      <c r="V477" s="12"/>
      <c r="W477" s="12"/>
      <c r="X477" s="12"/>
      <c r="Y477" s="12"/>
      <c r="Z477" s="12"/>
      <c r="AA477" s="12"/>
      <c r="AB477" s="12"/>
      <c r="AC477" s="12" t="str">
        <f>Table1[[#This Row],[City or Community (Santa Clara County)]]</f>
        <v>Cupertino</v>
      </c>
      <c r="AD477" s="12">
        <f>COUNTIF(H:H,Table1[[#This Row],[City or Community (Santa Clara County)]])</f>
        <v>55</v>
      </c>
      <c r="AE477" s="12" t="str">
        <f>Table1[[#This Row],[Please select your county]]</f>
        <v>Santa Clara County</v>
      </c>
      <c r="AF477" s="41">
        <f>COUNTIF(AE:AE,Table1[[#This Row],[County]])</f>
        <v>192</v>
      </c>
      <c r="AG477" s="12">
        <v>2025</v>
      </c>
    </row>
    <row r="478" spans="1:33" ht="15.5" x14ac:dyDescent="0.35">
      <c r="A478" s="12">
        <v>102</v>
      </c>
      <c r="B478" s="12" t="s">
        <v>151</v>
      </c>
      <c r="C478" s="12"/>
      <c r="D478" s="12"/>
      <c r="E478" s="12"/>
      <c r="F478" s="12"/>
      <c r="G478" s="12"/>
      <c r="H478" s="12" t="s">
        <v>399</v>
      </c>
      <c r="I478" s="12"/>
      <c r="J478" s="12"/>
      <c r="K478" s="10" t="s">
        <v>294</v>
      </c>
      <c r="L478" s="10"/>
      <c r="M478" s="10"/>
      <c r="N478" s="10"/>
      <c r="O478" s="12" t="s">
        <v>38</v>
      </c>
      <c r="P478" s="12">
        <v>600</v>
      </c>
      <c r="Q478" s="12" t="s">
        <v>281</v>
      </c>
      <c r="R478" s="12" t="s">
        <v>79</v>
      </c>
      <c r="S478" s="12" t="s">
        <v>292</v>
      </c>
      <c r="T478" s="12" t="s">
        <v>159</v>
      </c>
      <c r="U478" s="12" t="s">
        <v>160</v>
      </c>
      <c r="V478" s="12"/>
      <c r="W478" s="12"/>
      <c r="X478" s="12"/>
      <c r="Y478" s="12"/>
      <c r="Z478" s="12"/>
      <c r="AA478" s="12"/>
      <c r="AB478" s="12"/>
      <c r="AC478" s="12" t="str">
        <f>Table1[[#This Row],[City or Community (Santa Clara County)]]</f>
        <v>Cupertino</v>
      </c>
      <c r="AD478" s="12">
        <f>COUNTIF(H:H,Table1[[#This Row],[City or Community (Santa Clara County)]])</f>
        <v>55</v>
      </c>
      <c r="AE478" s="12" t="str">
        <f>Table1[[#This Row],[Please select your county]]</f>
        <v>Santa Clara County</v>
      </c>
      <c r="AF478" s="41">
        <f>COUNTIF(AE:AE,Table1[[#This Row],[County]])</f>
        <v>192</v>
      </c>
      <c r="AG478" s="12">
        <v>2025</v>
      </c>
    </row>
    <row r="479" spans="1:33" ht="15.5" x14ac:dyDescent="0.35">
      <c r="A479" s="12">
        <v>127</v>
      </c>
      <c r="B479" s="12" t="s">
        <v>151</v>
      </c>
      <c r="C479" s="12"/>
      <c r="D479" s="12"/>
      <c r="E479" s="12"/>
      <c r="F479" s="12"/>
      <c r="G479" s="12"/>
      <c r="H479" s="12" t="s">
        <v>399</v>
      </c>
      <c r="I479" s="12"/>
      <c r="J479" s="12"/>
      <c r="K479" s="10" t="s">
        <v>267</v>
      </c>
      <c r="L479" s="10"/>
      <c r="M479" s="10"/>
      <c r="N479" s="10"/>
      <c r="O479" s="12" t="s">
        <v>38</v>
      </c>
      <c r="P479" s="12">
        <v>620</v>
      </c>
      <c r="Q479" s="12" t="s">
        <v>281</v>
      </c>
      <c r="R479" s="12" t="s">
        <v>72</v>
      </c>
      <c r="S479" s="12" t="s">
        <v>282</v>
      </c>
      <c r="T479" s="12" t="s">
        <v>159</v>
      </c>
      <c r="U479" s="12" t="s">
        <v>160</v>
      </c>
      <c r="V479" s="12"/>
      <c r="W479" s="12"/>
      <c r="X479" s="12"/>
      <c r="Y479" s="12"/>
      <c r="Z479" s="12"/>
      <c r="AA479" s="12"/>
      <c r="AB479" s="12"/>
      <c r="AC479" s="12" t="str">
        <f>Table1[[#This Row],[City or Community (Santa Clara County)]]</f>
        <v>Cupertino</v>
      </c>
      <c r="AD479" s="12">
        <f>COUNTIF(H:H,Table1[[#This Row],[City or Community (Santa Clara County)]])</f>
        <v>55</v>
      </c>
      <c r="AE479" s="12" t="str">
        <f>Table1[[#This Row],[Please select your county]]</f>
        <v>Santa Clara County</v>
      </c>
      <c r="AF479" s="41">
        <f>COUNTIF(AE:AE,Table1[[#This Row],[County]])</f>
        <v>192</v>
      </c>
      <c r="AG479" s="12">
        <v>2025</v>
      </c>
    </row>
    <row r="480" spans="1:33" ht="31" x14ac:dyDescent="0.35">
      <c r="A480" s="12">
        <v>596</v>
      </c>
      <c r="B480" s="12" t="s">
        <v>151</v>
      </c>
      <c r="C480" s="12"/>
      <c r="D480" s="12"/>
      <c r="E480" s="12"/>
      <c r="F480" s="12"/>
      <c r="G480" s="12"/>
      <c r="H480" s="12" t="s">
        <v>399</v>
      </c>
      <c r="I480" s="12"/>
      <c r="J480" s="12"/>
      <c r="K480" s="10" t="s">
        <v>274</v>
      </c>
      <c r="L480" s="10" t="s">
        <v>279</v>
      </c>
      <c r="M480" s="10" t="s">
        <v>269</v>
      </c>
      <c r="N480" s="10" t="s">
        <v>280</v>
      </c>
      <c r="O480" s="12" t="s">
        <v>38</v>
      </c>
      <c r="P480" s="12">
        <v>622</v>
      </c>
      <c r="Q480" s="12" t="s">
        <v>281</v>
      </c>
      <c r="R480" s="12" t="s">
        <v>71</v>
      </c>
      <c r="S480" s="12" t="s">
        <v>276</v>
      </c>
      <c r="T480" s="12" t="s">
        <v>159</v>
      </c>
      <c r="U480" s="12" t="s">
        <v>160</v>
      </c>
      <c r="V480" s="12"/>
      <c r="W480" s="12"/>
      <c r="X480" s="12"/>
      <c r="Y480" s="12"/>
      <c r="Z480" s="12"/>
      <c r="AA480" s="12"/>
      <c r="AB480" s="12"/>
      <c r="AC480" s="12" t="str">
        <f>Table1[[#This Row],[City or Community (Santa Clara County)]]</f>
        <v>Cupertino</v>
      </c>
      <c r="AD480" s="12">
        <f>COUNTIF(H:H,Table1[[#This Row],[City or Community (Santa Clara County)]])</f>
        <v>55</v>
      </c>
      <c r="AE480" s="12" t="str">
        <f>Table1[[#This Row],[Please select your county]]</f>
        <v>Santa Clara County</v>
      </c>
      <c r="AF480" s="41">
        <f>COUNTIF(AE:AE,Table1[[#This Row],[County]])</f>
        <v>192</v>
      </c>
      <c r="AG480" s="12">
        <v>2025</v>
      </c>
    </row>
    <row r="481" spans="1:33" ht="15.5" x14ac:dyDescent="0.35">
      <c r="A481" s="12">
        <v>597</v>
      </c>
      <c r="B481" s="12" t="s">
        <v>151</v>
      </c>
      <c r="C481" s="12"/>
      <c r="D481" s="12"/>
      <c r="E481" s="12"/>
      <c r="F481" s="12"/>
      <c r="G481" s="12"/>
      <c r="H481" s="12" t="s">
        <v>399</v>
      </c>
      <c r="I481" s="12"/>
      <c r="J481" s="12"/>
      <c r="K481" s="12" t="s">
        <v>274</v>
      </c>
      <c r="L481" s="12" t="s">
        <v>277</v>
      </c>
      <c r="M481" s="12" t="s">
        <v>269</v>
      </c>
      <c r="N481" s="12" t="s">
        <v>280</v>
      </c>
      <c r="O481" s="12" t="s">
        <v>38</v>
      </c>
      <c r="P481" s="12">
        <v>622</v>
      </c>
      <c r="Q481" s="12" t="s">
        <v>281</v>
      </c>
      <c r="R481" s="12" t="s">
        <v>79</v>
      </c>
      <c r="S481" s="12" t="s">
        <v>276</v>
      </c>
      <c r="T481" s="12" t="s">
        <v>159</v>
      </c>
      <c r="U481" s="12" t="s">
        <v>160</v>
      </c>
      <c r="V481" s="12"/>
      <c r="W481" s="12"/>
      <c r="X481" s="12"/>
      <c r="Y481" s="12"/>
      <c r="Z481" s="12"/>
      <c r="AA481" s="12"/>
      <c r="AB481" s="12"/>
      <c r="AC481" s="12" t="str">
        <f>Table1[[#This Row],[City or Community (Santa Clara County)]]</f>
        <v>Cupertino</v>
      </c>
      <c r="AD481" s="12">
        <f>COUNTIF(H:H,Table1[[#This Row],[City or Community (Santa Clara County)]])</f>
        <v>55</v>
      </c>
      <c r="AE481" s="12" t="str">
        <f>Table1[[#This Row],[Please select your county]]</f>
        <v>Santa Clara County</v>
      </c>
      <c r="AF481" s="41">
        <f>COUNTIF(AE:AE,Table1[[#This Row],[County]])</f>
        <v>192</v>
      </c>
      <c r="AG481" s="12">
        <v>2025</v>
      </c>
    </row>
    <row r="482" spans="1:33" ht="15.5" x14ac:dyDescent="0.35">
      <c r="A482" s="12">
        <v>279</v>
      </c>
      <c r="B482" s="12" t="s">
        <v>151</v>
      </c>
      <c r="C482" s="12"/>
      <c r="D482" s="12"/>
      <c r="E482" s="12"/>
      <c r="F482" s="12"/>
      <c r="G482" s="12"/>
      <c r="H482" s="12" t="s">
        <v>399</v>
      </c>
      <c r="I482" s="12"/>
      <c r="J482" s="12"/>
      <c r="K482" s="10" t="s">
        <v>267</v>
      </c>
      <c r="L482" s="10"/>
      <c r="M482" s="10"/>
      <c r="N482" s="10"/>
      <c r="O482" s="12" t="s">
        <v>38</v>
      </c>
      <c r="P482" s="12">
        <v>700</v>
      </c>
      <c r="Q482" s="12" t="s">
        <v>295</v>
      </c>
      <c r="R482" s="12" t="s">
        <v>73</v>
      </c>
      <c r="S482" s="12" t="s">
        <v>276</v>
      </c>
      <c r="T482" s="12" t="s">
        <v>159</v>
      </c>
      <c r="U482" s="12" t="s">
        <v>160</v>
      </c>
      <c r="V482" s="12"/>
      <c r="W482" s="12"/>
      <c r="X482" s="12"/>
      <c r="Y482" s="12"/>
      <c r="Z482" s="12"/>
      <c r="AA482" s="12"/>
      <c r="AB482" s="12"/>
      <c r="AC482" s="12" t="str">
        <f>Table1[[#This Row],[City or Community (Santa Clara County)]]</f>
        <v>Cupertino</v>
      </c>
      <c r="AD482" s="12">
        <f>COUNTIF(H:H,Table1[[#This Row],[City or Community (Santa Clara County)]])</f>
        <v>55</v>
      </c>
      <c r="AE482" s="12" t="str">
        <f>Table1[[#This Row],[Please select your county]]</f>
        <v>Santa Clara County</v>
      </c>
      <c r="AF482" s="41">
        <f>COUNTIF(AE:AE,Table1[[#This Row],[County]])</f>
        <v>192</v>
      </c>
      <c r="AG482" s="12">
        <v>2025</v>
      </c>
    </row>
    <row r="483" spans="1:33" ht="15.5" x14ac:dyDescent="0.35">
      <c r="A483" s="12">
        <v>113</v>
      </c>
      <c r="B483" s="12" t="s">
        <v>151</v>
      </c>
      <c r="C483" s="12"/>
      <c r="D483" s="12"/>
      <c r="E483" s="12"/>
      <c r="F483" s="12"/>
      <c r="G483" s="12"/>
      <c r="H483" s="12" t="s">
        <v>399</v>
      </c>
      <c r="I483" s="12"/>
      <c r="J483" s="12"/>
      <c r="K483" s="10" t="s">
        <v>267</v>
      </c>
      <c r="L483" s="10"/>
      <c r="M483" s="10"/>
      <c r="N483" s="10"/>
      <c r="O483" s="12" t="s">
        <v>38</v>
      </c>
      <c r="P483" s="12">
        <v>712</v>
      </c>
      <c r="Q483" s="12" t="s">
        <v>295</v>
      </c>
      <c r="R483" s="12" t="s">
        <v>70</v>
      </c>
      <c r="S483" s="12" t="s">
        <v>292</v>
      </c>
      <c r="T483" s="12" t="s">
        <v>159</v>
      </c>
      <c r="U483" s="12" t="s">
        <v>160</v>
      </c>
      <c r="V483" s="12"/>
      <c r="W483" s="12"/>
      <c r="X483" s="12"/>
      <c r="Y483" s="12"/>
      <c r="Z483" s="12"/>
      <c r="AA483" s="12"/>
      <c r="AB483" s="12"/>
      <c r="AC483" s="12" t="str">
        <f>Table1[[#This Row],[City or Community (Santa Clara County)]]</f>
        <v>Cupertino</v>
      </c>
      <c r="AD483" s="12">
        <f>COUNTIF(H:H,Table1[[#This Row],[City or Community (Santa Clara County)]])</f>
        <v>55</v>
      </c>
      <c r="AE483" s="12" t="str">
        <f>Table1[[#This Row],[Please select your county]]</f>
        <v>Santa Clara County</v>
      </c>
      <c r="AF483" s="41">
        <f>COUNTIF(AE:AE,Table1[[#This Row],[County]])</f>
        <v>192</v>
      </c>
      <c r="AG483" s="12">
        <v>2025</v>
      </c>
    </row>
    <row r="484" spans="1:33" ht="31" x14ac:dyDescent="0.35">
      <c r="A484" s="12">
        <v>453</v>
      </c>
      <c r="B484" s="12" t="s">
        <v>151</v>
      </c>
      <c r="C484" s="12"/>
      <c r="D484" s="12"/>
      <c r="E484" s="12"/>
      <c r="F484" s="12"/>
      <c r="G484" s="12"/>
      <c r="H484" s="12" t="s">
        <v>399</v>
      </c>
      <c r="I484" s="12"/>
      <c r="J484" s="12"/>
      <c r="K484" s="10" t="s">
        <v>267</v>
      </c>
      <c r="L484" s="10" t="s">
        <v>277</v>
      </c>
      <c r="M484" s="10" t="s">
        <v>269</v>
      </c>
      <c r="N484" s="10" t="s">
        <v>278</v>
      </c>
      <c r="O484" s="12" t="s">
        <v>38</v>
      </c>
      <c r="P484" s="12">
        <v>720</v>
      </c>
      <c r="Q484" s="12" t="s">
        <v>295</v>
      </c>
      <c r="R484" s="12" t="s">
        <v>71</v>
      </c>
      <c r="S484" s="12" t="s">
        <v>272</v>
      </c>
      <c r="T484" s="12" t="s">
        <v>159</v>
      </c>
      <c r="U484" s="12" t="s">
        <v>159</v>
      </c>
      <c r="V484" s="12" t="s">
        <v>163</v>
      </c>
      <c r="W484" s="12" t="s">
        <v>299</v>
      </c>
      <c r="X484" s="12"/>
      <c r="Y484" s="12" t="s">
        <v>290</v>
      </c>
      <c r="Z484" s="12"/>
      <c r="AA484" s="12" t="s">
        <v>291</v>
      </c>
      <c r="AB484" s="12" t="s">
        <v>189</v>
      </c>
      <c r="AC484" s="12" t="str">
        <f>Table1[[#This Row],[City or Community (Santa Clara County)]]</f>
        <v>Cupertino</v>
      </c>
      <c r="AD484" s="12">
        <f>COUNTIF(H:H,Table1[[#This Row],[City or Community (Santa Clara County)]])</f>
        <v>55</v>
      </c>
      <c r="AE484" s="12" t="str">
        <f>Table1[[#This Row],[Please select your county]]</f>
        <v>Santa Clara County</v>
      </c>
      <c r="AF484" s="41">
        <f>COUNTIF(AE:AE,Table1[[#This Row],[County]])</f>
        <v>192</v>
      </c>
      <c r="AG484" s="12">
        <v>2025</v>
      </c>
    </row>
    <row r="485" spans="1:33" ht="15.5" x14ac:dyDescent="0.35">
      <c r="A485" s="12">
        <v>312</v>
      </c>
      <c r="B485" s="12" t="s">
        <v>151</v>
      </c>
      <c r="C485" s="12"/>
      <c r="D485" s="12"/>
      <c r="E485" s="12"/>
      <c r="F485" s="12"/>
      <c r="G485" s="12"/>
      <c r="H485" s="12" t="s">
        <v>399</v>
      </c>
      <c r="I485" s="12"/>
      <c r="J485" s="12"/>
      <c r="K485" s="10" t="s">
        <v>294</v>
      </c>
      <c r="L485" s="10"/>
      <c r="M485" s="10"/>
      <c r="N485" s="10"/>
      <c r="O485" s="12" t="s">
        <v>38</v>
      </c>
      <c r="P485" s="12">
        <v>721</v>
      </c>
      <c r="Q485" s="12" t="s">
        <v>295</v>
      </c>
      <c r="R485" s="12" t="s">
        <v>79</v>
      </c>
      <c r="S485" s="12" t="s">
        <v>276</v>
      </c>
      <c r="T485" s="12" t="s">
        <v>159</v>
      </c>
      <c r="U485" s="12" t="s">
        <v>160</v>
      </c>
      <c r="V485" s="12"/>
      <c r="W485" s="12"/>
      <c r="X485" s="12"/>
      <c r="Y485" s="12"/>
      <c r="Z485" s="12"/>
      <c r="AA485" s="12"/>
      <c r="AB485" s="12"/>
      <c r="AC485" s="12" t="str">
        <f>Table1[[#This Row],[City or Community (Santa Clara County)]]</f>
        <v>Cupertino</v>
      </c>
      <c r="AD485" s="12">
        <f>COUNTIF(H:H,Table1[[#This Row],[City or Community (Santa Clara County)]])</f>
        <v>55</v>
      </c>
      <c r="AE485" s="12" t="str">
        <f>Table1[[#This Row],[Please select your county]]</f>
        <v>Santa Clara County</v>
      </c>
      <c r="AF485" s="41">
        <f>COUNTIF(AE:AE,Table1[[#This Row],[County]])</f>
        <v>192</v>
      </c>
      <c r="AG485" s="12">
        <v>2025</v>
      </c>
    </row>
    <row r="486" spans="1:33" ht="31" x14ac:dyDescent="0.35">
      <c r="A486" s="12">
        <v>110</v>
      </c>
      <c r="B486" s="12" t="s">
        <v>151</v>
      </c>
      <c r="C486" s="12"/>
      <c r="D486" s="12"/>
      <c r="E486" s="12"/>
      <c r="F486" s="12"/>
      <c r="G486" s="12"/>
      <c r="H486" s="12" t="s">
        <v>399</v>
      </c>
      <c r="I486" s="12"/>
      <c r="J486" s="12"/>
      <c r="K486" s="10" t="s">
        <v>403</v>
      </c>
      <c r="L486" s="10"/>
      <c r="M486" s="10"/>
      <c r="N486" s="10"/>
      <c r="O486" s="12" t="s">
        <v>38</v>
      </c>
      <c r="P486" s="12">
        <v>740</v>
      </c>
      <c r="Q486" s="12" t="s">
        <v>295</v>
      </c>
      <c r="R486" s="12" t="s">
        <v>70</v>
      </c>
      <c r="S486" s="12" t="s">
        <v>298</v>
      </c>
      <c r="T486" s="12" t="s">
        <v>83</v>
      </c>
      <c r="U486" s="12" t="s">
        <v>160</v>
      </c>
      <c r="V486" s="12"/>
      <c r="W486" s="12"/>
      <c r="X486" s="12"/>
      <c r="Y486" s="12"/>
      <c r="Z486" s="12"/>
      <c r="AA486" s="12"/>
      <c r="AB486" s="12"/>
      <c r="AC486" s="12" t="str">
        <f>Table1[[#This Row],[City or Community (Santa Clara County)]]</f>
        <v>Cupertino</v>
      </c>
      <c r="AD486" s="12">
        <f>COUNTIF(H:H,Table1[[#This Row],[City or Community (Santa Clara County)]])</f>
        <v>55</v>
      </c>
      <c r="AE486" s="12" t="str">
        <f>Table1[[#This Row],[Please select your county]]</f>
        <v>Santa Clara County</v>
      </c>
      <c r="AF486" s="41">
        <f>COUNTIF(AE:AE,Table1[[#This Row],[County]])</f>
        <v>192</v>
      </c>
      <c r="AG486" s="12">
        <v>2025</v>
      </c>
    </row>
    <row r="487" spans="1:33" ht="15.5" x14ac:dyDescent="0.35">
      <c r="A487" s="12">
        <v>374</v>
      </c>
      <c r="B487" s="12" t="s">
        <v>151</v>
      </c>
      <c r="C487" s="12"/>
      <c r="D487" s="12"/>
      <c r="E487" s="12"/>
      <c r="F487" s="12"/>
      <c r="G487" s="12"/>
      <c r="H487" s="12" t="s">
        <v>399</v>
      </c>
      <c r="I487" s="12"/>
      <c r="J487" s="12"/>
      <c r="K487" s="10" t="s">
        <v>274</v>
      </c>
      <c r="L487" s="10" t="s">
        <v>277</v>
      </c>
      <c r="M487" s="10" t="s">
        <v>269</v>
      </c>
      <c r="N487" s="10" t="s">
        <v>270</v>
      </c>
      <c r="O487" s="12" t="s">
        <v>38</v>
      </c>
      <c r="P487" s="12">
        <v>744</v>
      </c>
      <c r="Q487" s="12" t="s">
        <v>281</v>
      </c>
      <c r="R487" s="12" t="s">
        <v>67</v>
      </c>
      <c r="S487" s="12" t="s">
        <v>276</v>
      </c>
      <c r="T487" s="12" t="s">
        <v>159</v>
      </c>
      <c r="U487" s="12" t="s">
        <v>160</v>
      </c>
      <c r="V487" s="12"/>
      <c r="W487" s="12"/>
      <c r="X487" s="12"/>
      <c r="Y487" s="12"/>
      <c r="Z487" s="12"/>
      <c r="AA487" s="12"/>
      <c r="AB487" s="12"/>
      <c r="AC487" s="12" t="str">
        <f>Table1[[#This Row],[City or Community (Santa Clara County)]]</f>
        <v>Cupertino</v>
      </c>
      <c r="AD487" s="12">
        <f>COUNTIF(H:H,Table1[[#This Row],[City or Community (Santa Clara County)]])</f>
        <v>55</v>
      </c>
      <c r="AE487" s="12" t="str">
        <f>Table1[[#This Row],[Please select your county]]</f>
        <v>Santa Clara County</v>
      </c>
      <c r="AF487" s="41">
        <f>COUNTIF(AE:AE,Table1[[#This Row],[County]])</f>
        <v>192</v>
      </c>
      <c r="AG487" s="12">
        <v>2025</v>
      </c>
    </row>
    <row r="488" spans="1:33" ht="31" x14ac:dyDescent="0.35">
      <c r="A488" s="12">
        <v>228</v>
      </c>
      <c r="B488" s="12" t="s">
        <v>151</v>
      </c>
      <c r="C488" s="12"/>
      <c r="D488" s="12"/>
      <c r="E488" s="12"/>
      <c r="F488" s="12"/>
      <c r="G488" s="12"/>
      <c r="H488" s="12" t="s">
        <v>399</v>
      </c>
      <c r="I488" s="12"/>
      <c r="J488" s="12"/>
      <c r="K488" s="10" t="s">
        <v>293</v>
      </c>
      <c r="L488" s="10"/>
      <c r="M488" s="10"/>
      <c r="N488" s="10"/>
      <c r="O488" s="12" t="s">
        <v>38</v>
      </c>
      <c r="P488" s="12">
        <v>746</v>
      </c>
      <c r="Q488" s="12" t="s">
        <v>295</v>
      </c>
      <c r="R488" s="12" t="s">
        <v>73</v>
      </c>
      <c r="S488" s="12" t="s">
        <v>276</v>
      </c>
      <c r="T488" s="12" t="s">
        <v>83</v>
      </c>
      <c r="U488" s="12" t="s">
        <v>159</v>
      </c>
      <c r="V488" s="12" t="s">
        <v>162</v>
      </c>
      <c r="W488" s="12" t="s">
        <v>299</v>
      </c>
      <c r="X488" s="12"/>
      <c r="Y488" s="12" t="s">
        <v>372</v>
      </c>
      <c r="Z488" s="12"/>
      <c r="AA488" s="12" t="s">
        <v>300</v>
      </c>
      <c r="AB488" s="12" t="s">
        <v>190</v>
      </c>
      <c r="AC488" s="12" t="str">
        <f>Table1[[#This Row],[City or Community (Santa Clara County)]]</f>
        <v>Cupertino</v>
      </c>
      <c r="AD488" s="12">
        <f>COUNTIF(H:H,Table1[[#This Row],[City or Community (Santa Clara County)]])</f>
        <v>55</v>
      </c>
      <c r="AE488" s="12" t="str">
        <f>Table1[[#This Row],[Please select your county]]</f>
        <v>Santa Clara County</v>
      </c>
      <c r="AF488" s="41">
        <f>COUNTIF(AE:AE,Table1[[#This Row],[County]])</f>
        <v>192</v>
      </c>
      <c r="AG488" s="12">
        <v>2025</v>
      </c>
    </row>
    <row r="489" spans="1:33" ht="31" x14ac:dyDescent="0.35">
      <c r="A489" s="12">
        <v>395</v>
      </c>
      <c r="B489" s="12" t="s">
        <v>151</v>
      </c>
      <c r="C489" s="12"/>
      <c r="D489" s="12"/>
      <c r="E489" s="12"/>
      <c r="F489" s="12"/>
      <c r="G489" s="12"/>
      <c r="H489" s="12" t="s">
        <v>399</v>
      </c>
      <c r="I489" s="12"/>
      <c r="J489" s="12"/>
      <c r="K489" s="10" t="s">
        <v>274</v>
      </c>
      <c r="L489" s="10" t="s">
        <v>279</v>
      </c>
      <c r="M489" s="10" t="s">
        <v>269</v>
      </c>
      <c r="N489" s="10" t="s">
        <v>278</v>
      </c>
      <c r="O489" s="12" t="s">
        <v>38</v>
      </c>
      <c r="P489" s="12">
        <v>747</v>
      </c>
      <c r="Q489" s="12" t="s">
        <v>295</v>
      </c>
      <c r="R489" s="12" t="s">
        <v>79</v>
      </c>
      <c r="S489" s="12" t="s">
        <v>276</v>
      </c>
      <c r="T489" s="12" t="s">
        <v>159</v>
      </c>
      <c r="U489" s="12" t="s">
        <v>160</v>
      </c>
      <c r="V489" s="12"/>
      <c r="W489" s="12"/>
      <c r="X489" s="12"/>
      <c r="Y489" s="12"/>
      <c r="Z489" s="12"/>
      <c r="AA489" s="12"/>
      <c r="AB489" s="12"/>
      <c r="AC489" s="12" t="str">
        <f>Table1[[#This Row],[City or Community (Santa Clara County)]]</f>
        <v>Cupertino</v>
      </c>
      <c r="AD489" s="12">
        <f>COUNTIF(H:H,Table1[[#This Row],[City or Community (Santa Clara County)]])</f>
        <v>55</v>
      </c>
      <c r="AE489" s="12" t="str">
        <f>Table1[[#This Row],[Please select your county]]</f>
        <v>Santa Clara County</v>
      </c>
      <c r="AF489" s="41">
        <f>COUNTIF(AE:AE,Table1[[#This Row],[County]])</f>
        <v>192</v>
      </c>
      <c r="AG489" s="12">
        <v>2025</v>
      </c>
    </row>
    <row r="490" spans="1:33" ht="31" x14ac:dyDescent="0.35">
      <c r="A490" s="12">
        <v>378</v>
      </c>
      <c r="B490" s="12" t="s">
        <v>151</v>
      </c>
      <c r="C490" s="12"/>
      <c r="D490" s="12"/>
      <c r="E490" s="12"/>
      <c r="F490" s="12"/>
      <c r="G490" s="12"/>
      <c r="H490" s="12" t="s">
        <v>399</v>
      </c>
      <c r="I490" s="12"/>
      <c r="J490" s="12"/>
      <c r="K490" s="10" t="s">
        <v>274</v>
      </c>
      <c r="L490" s="10" t="s">
        <v>279</v>
      </c>
      <c r="M490" s="10" t="s">
        <v>269</v>
      </c>
      <c r="N490" s="10" t="s">
        <v>280</v>
      </c>
      <c r="O490" s="12" t="s">
        <v>38</v>
      </c>
      <c r="P490" s="12">
        <v>749</v>
      </c>
      <c r="Q490" s="12" t="s">
        <v>295</v>
      </c>
      <c r="R490" s="12" t="s">
        <v>72</v>
      </c>
      <c r="S490" s="12" t="s">
        <v>276</v>
      </c>
      <c r="T490" s="12" t="s">
        <v>159</v>
      </c>
      <c r="U490" s="12" t="s">
        <v>160</v>
      </c>
      <c r="V490" s="12"/>
      <c r="W490" s="12"/>
      <c r="X490" s="12"/>
      <c r="Y490" s="12"/>
      <c r="Z490" s="12"/>
      <c r="AA490" s="12"/>
      <c r="AB490" s="12"/>
      <c r="AC490" s="12" t="str">
        <f>Table1[[#This Row],[City or Community (Santa Clara County)]]</f>
        <v>Cupertino</v>
      </c>
      <c r="AD490" s="12">
        <f>COUNTIF(H:H,Table1[[#This Row],[City or Community (Santa Clara County)]])</f>
        <v>55</v>
      </c>
      <c r="AE490" s="12" t="str">
        <f>Table1[[#This Row],[Please select your county]]</f>
        <v>Santa Clara County</v>
      </c>
      <c r="AF490" s="41">
        <f>COUNTIF(AE:AE,Table1[[#This Row],[County]])</f>
        <v>192</v>
      </c>
      <c r="AG490" s="12">
        <v>2025</v>
      </c>
    </row>
    <row r="491" spans="1:33" ht="31" x14ac:dyDescent="0.35">
      <c r="A491" s="12">
        <v>479</v>
      </c>
      <c r="B491" s="12" t="s">
        <v>151</v>
      </c>
      <c r="C491" s="12"/>
      <c r="D491" s="12"/>
      <c r="E491" s="12"/>
      <c r="F491" s="12"/>
      <c r="G491" s="12"/>
      <c r="H491" s="12" t="s">
        <v>399</v>
      </c>
      <c r="I491" s="12"/>
      <c r="J491" s="12"/>
      <c r="K491" s="10" t="s">
        <v>274</v>
      </c>
      <c r="L491" s="10" t="s">
        <v>279</v>
      </c>
      <c r="M491" s="10" t="s">
        <v>269</v>
      </c>
      <c r="N491" s="10" t="s">
        <v>280</v>
      </c>
      <c r="O491" s="12" t="s">
        <v>38</v>
      </c>
      <c r="P491" s="12">
        <v>749</v>
      </c>
      <c r="Q491" s="12" t="s">
        <v>295</v>
      </c>
      <c r="R491" s="12" t="s">
        <v>79</v>
      </c>
      <c r="S491" s="12" t="s">
        <v>276</v>
      </c>
      <c r="T491" s="12" t="s">
        <v>159</v>
      </c>
      <c r="U491" s="12" t="s">
        <v>160</v>
      </c>
      <c r="V491" s="12"/>
      <c r="W491" s="12"/>
      <c r="X491" s="12"/>
      <c r="Y491" s="12"/>
      <c r="Z491" s="12"/>
      <c r="AA491" s="12"/>
      <c r="AB491" s="12"/>
      <c r="AC491" s="12" t="str">
        <f>Table1[[#This Row],[City or Community (Santa Clara County)]]</f>
        <v>Cupertino</v>
      </c>
      <c r="AD491" s="12">
        <f>COUNTIF(H:H,Table1[[#This Row],[City or Community (Santa Clara County)]])</f>
        <v>55</v>
      </c>
      <c r="AE491" s="12" t="str">
        <f>Table1[[#This Row],[Please select your county]]</f>
        <v>Santa Clara County</v>
      </c>
      <c r="AF491" s="41">
        <f>COUNTIF(AE:AE,Table1[[#This Row],[County]])</f>
        <v>192</v>
      </c>
      <c r="AG491" s="12">
        <v>2025</v>
      </c>
    </row>
    <row r="492" spans="1:33" ht="31" x14ac:dyDescent="0.35">
      <c r="A492" s="12">
        <v>262</v>
      </c>
      <c r="B492" s="12" t="s">
        <v>151</v>
      </c>
      <c r="C492" s="12"/>
      <c r="D492" s="12"/>
      <c r="E492" s="12"/>
      <c r="F492" s="12"/>
      <c r="G492" s="12"/>
      <c r="H492" s="12" t="s">
        <v>399</v>
      </c>
      <c r="I492" s="12"/>
      <c r="J492" s="12"/>
      <c r="K492" s="10" t="s">
        <v>293</v>
      </c>
      <c r="L492" s="10"/>
      <c r="M492" s="10"/>
      <c r="N492" s="10"/>
      <c r="O492" s="12" t="s">
        <v>38</v>
      </c>
      <c r="P492" s="12">
        <v>749</v>
      </c>
      <c r="Q492" s="12" t="s">
        <v>295</v>
      </c>
      <c r="R492" s="12" t="s">
        <v>72</v>
      </c>
      <c r="S492" s="12" t="s">
        <v>284</v>
      </c>
      <c r="T492" s="12" t="s">
        <v>83</v>
      </c>
      <c r="U492" s="12" t="s">
        <v>160</v>
      </c>
      <c r="V492" s="12"/>
      <c r="W492" s="12"/>
      <c r="X492" s="12"/>
      <c r="Y492" s="12"/>
      <c r="Z492" s="12"/>
      <c r="AA492" s="12"/>
      <c r="AB492" s="12"/>
      <c r="AC492" s="12" t="str">
        <f>Table1[[#This Row],[City or Community (Santa Clara County)]]</f>
        <v>Cupertino</v>
      </c>
      <c r="AD492" s="12">
        <f>COUNTIF(H:H,Table1[[#This Row],[City or Community (Santa Clara County)]])</f>
        <v>55</v>
      </c>
      <c r="AE492" s="12" t="str">
        <f>Table1[[#This Row],[Please select your county]]</f>
        <v>Santa Clara County</v>
      </c>
      <c r="AF492" s="41">
        <f>COUNTIF(AE:AE,Table1[[#This Row],[County]])</f>
        <v>192</v>
      </c>
      <c r="AG492" s="12">
        <v>2025</v>
      </c>
    </row>
    <row r="493" spans="1:33" ht="31" x14ac:dyDescent="0.35">
      <c r="A493" s="12">
        <v>232</v>
      </c>
      <c r="B493" s="12" t="s">
        <v>151</v>
      </c>
      <c r="C493" s="12"/>
      <c r="D493" s="12"/>
      <c r="E493" s="12"/>
      <c r="F493" s="12"/>
      <c r="G493" s="12"/>
      <c r="H493" s="12" t="s">
        <v>399</v>
      </c>
      <c r="I493" s="12"/>
      <c r="J493" s="12"/>
      <c r="K493" s="10" t="s">
        <v>336</v>
      </c>
      <c r="L493" s="10"/>
      <c r="M493" s="10"/>
      <c r="N493" s="10"/>
      <c r="O493" s="12" t="s">
        <v>38</v>
      </c>
      <c r="P493" s="12">
        <v>749</v>
      </c>
      <c r="Q493" s="12" t="s">
        <v>295</v>
      </c>
      <c r="R493" s="12" t="s">
        <v>71</v>
      </c>
      <c r="S493" s="12" t="s">
        <v>393</v>
      </c>
      <c r="T493" s="12" t="s">
        <v>159</v>
      </c>
      <c r="U493" s="12" t="s">
        <v>160</v>
      </c>
      <c r="V493" s="12"/>
      <c r="W493" s="12"/>
      <c r="X493" s="12"/>
      <c r="Y493" s="12"/>
      <c r="Z493" s="12"/>
      <c r="AA493" s="12"/>
      <c r="AB493" s="12"/>
      <c r="AC493" s="12" t="str">
        <f>Table1[[#This Row],[City or Community (Santa Clara County)]]</f>
        <v>Cupertino</v>
      </c>
      <c r="AD493" s="12">
        <f>COUNTIF(H:H,Table1[[#This Row],[City or Community (Santa Clara County)]])</f>
        <v>55</v>
      </c>
      <c r="AE493" s="12" t="str">
        <f>Table1[[#This Row],[Please select your county]]</f>
        <v>Santa Clara County</v>
      </c>
      <c r="AF493" s="41">
        <f>COUNTIF(AE:AE,Table1[[#This Row],[County]])</f>
        <v>192</v>
      </c>
      <c r="AG493" s="12">
        <v>2025</v>
      </c>
    </row>
    <row r="494" spans="1:33" ht="31" x14ac:dyDescent="0.35">
      <c r="A494" s="12">
        <v>523</v>
      </c>
      <c r="B494" s="12" t="s">
        <v>151</v>
      </c>
      <c r="C494" s="12"/>
      <c r="D494" s="12"/>
      <c r="E494" s="12"/>
      <c r="F494" s="12"/>
      <c r="G494" s="12"/>
      <c r="H494" s="12" t="s">
        <v>399</v>
      </c>
      <c r="I494" s="12"/>
      <c r="J494" s="12"/>
      <c r="K494" s="10" t="s">
        <v>274</v>
      </c>
      <c r="L494" s="10" t="s">
        <v>277</v>
      </c>
      <c r="M494" s="10" t="s">
        <v>269</v>
      </c>
      <c r="N494" s="10" t="s">
        <v>280</v>
      </c>
      <c r="O494" s="12" t="s">
        <v>38</v>
      </c>
      <c r="P494" s="12">
        <v>750</v>
      </c>
      <c r="Q494" s="12" t="s">
        <v>281</v>
      </c>
      <c r="R494" s="12" t="s">
        <v>79</v>
      </c>
      <c r="S494" s="12" t="s">
        <v>272</v>
      </c>
      <c r="T494" s="12" t="s">
        <v>159</v>
      </c>
      <c r="U494" s="12" t="s">
        <v>160</v>
      </c>
      <c r="V494" s="12"/>
      <c r="W494" s="12"/>
      <c r="X494" s="12"/>
      <c r="Y494" s="12"/>
      <c r="Z494" s="12"/>
      <c r="AA494" s="12"/>
      <c r="AB494" s="12"/>
      <c r="AC494" s="12" t="str">
        <f>Table1[[#This Row],[City or Community (Santa Clara County)]]</f>
        <v>Cupertino</v>
      </c>
      <c r="AD494" s="12">
        <f>COUNTIF(H:H,Table1[[#This Row],[City or Community (Santa Clara County)]])</f>
        <v>55</v>
      </c>
      <c r="AE494" s="12" t="str">
        <f>Table1[[#This Row],[Please select your county]]</f>
        <v>Santa Clara County</v>
      </c>
      <c r="AF494" s="41">
        <f>COUNTIF(AE:AE,Table1[[#This Row],[County]])</f>
        <v>192</v>
      </c>
      <c r="AG494" s="12">
        <v>2025</v>
      </c>
    </row>
    <row r="495" spans="1:33" ht="15.5" x14ac:dyDescent="0.35">
      <c r="A495" s="12">
        <v>481</v>
      </c>
      <c r="B495" s="12" t="s">
        <v>151</v>
      </c>
      <c r="C495" s="12"/>
      <c r="D495" s="12"/>
      <c r="E495" s="12"/>
      <c r="F495" s="12"/>
      <c r="G495" s="12"/>
      <c r="H495" s="12" t="s">
        <v>399</v>
      </c>
      <c r="I495" s="12"/>
      <c r="J495" s="12"/>
      <c r="K495" s="10" t="s">
        <v>267</v>
      </c>
      <c r="L495" s="10" t="s">
        <v>277</v>
      </c>
      <c r="M495" s="10" t="s">
        <v>269</v>
      </c>
      <c r="N495" s="10" t="s">
        <v>288</v>
      </c>
      <c r="O495" s="12" t="s">
        <v>38</v>
      </c>
      <c r="P495" s="12">
        <v>783</v>
      </c>
      <c r="Q495" s="12" t="s">
        <v>295</v>
      </c>
      <c r="R495" s="12" t="s">
        <v>69</v>
      </c>
      <c r="S495" s="12" t="s">
        <v>284</v>
      </c>
      <c r="T495" s="12" t="s">
        <v>159</v>
      </c>
      <c r="U495" s="12" t="s">
        <v>160</v>
      </c>
      <c r="V495" s="12"/>
      <c r="W495" s="12"/>
      <c r="X495" s="12"/>
      <c r="Y495" s="12"/>
      <c r="Z495" s="12"/>
      <c r="AA495" s="12"/>
      <c r="AB495" s="12"/>
      <c r="AC495" s="12" t="str">
        <f>Table1[[#This Row],[City or Community (Santa Clara County)]]</f>
        <v>Cupertino</v>
      </c>
      <c r="AD495" s="12">
        <f>COUNTIF(H:H,Table1[[#This Row],[City or Community (Santa Clara County)]])</f>
        <v>55</v>
      </c>
      <c r="AE495" s="12" t="str">
        <f>Table1[[#This Row],[Please select your county]]</f>
        <v>Santa Clara County</v>
      </c>
      <c r="AF495" s="41">
        <f>COUNTIF(AE:AE,Table1[[#This Row],[County]])</f>
        <v>192</v>
      </c>
      <c r="AG495" s="12">
        <v>2025</v>
      </c>
    </row>
    <row r="496" spans="1:33" ht="15.5" x14ac:dyDescent="0.35">
      <c r="A496" s="12">
        <v>316</v>
      </c>
      <c r="B496" s="12" t="s">
        <v>151</v>
      </c>
      <c r="C496" s="12"/>
      <c r="D496" s="12"/>
      <c r="E496" s="12"/>
      <c r="F496" s="12"/>
      <c r="G496" s="12"/>
      <c r="H496" s="12" t="s">
        <v>399</v>
      </c>
      <c r="I496" s="12"/>
      <c r="J496" s="12"/>
      <c r="K496" s="10" t="s">
        <v>274</v>
      </c>
      <c r="L496" s="10"/>
      <c r="M496" s="10"/>
      <c r="N496" s="10"/>
      <c r="O496" s="12" t="s">
        <v>38</v>
      </c>
      <c r="P496" s="12">
        <v>790</v>
      </c>
      <c r="Q496" s="12" t="s">
        <v>295</v>
      </c>
      <c r="R496" s="12" t="s">
        <v>79</v>
      </c>
      <c r="S496" s="12" t="s">
        <v>276</v>
      </c>
      <c r="T496" s="12" t="s">
        <v>159</v>
      </c>
      <c r="U496" s="12" t="s">
        <v>160</v>
      </c>
      <c r="V496" s="12"/>
      <c r="W496" s="12"/>
      <c r="X496" s="12"/>
      <c r="Y496" s="12"/>
      <c r="Z496" s="12"/>
      <c r="AA496" s="12"/>
      <c r="AB496" s="12"/>
      <c r="AC496" s="12" t="str">
        <f>Table1[[#This Row],[City or Community (Santa Clara County)]]</f>
        <v>Cupertino</v>
      </c>
      <c r="AD496" s="12">
        <f>COUNTIF(H:H,Table1[[#This Row],[City or Community (Santa Clara County)]])</f>
        <v>55</v>
      </c>
      <c r="AE496" s="12" t="str">
        <f>Table1[[#This Row],[Please select your county]]</f>
        <v>Santa Clara County</v>
      </c>
      <c r="AF496" s="41">
        <f>COUNTIF(AE:AE,Table1[[#This Row],[County]])</f>
        <v>192</v>
      </c>
      <c r="AG496" s="12">
        <v>2025</v>
      </c>
    </row>
    <row r="497" spans="1:33" ht="15.5" x14ac:dyDescent="0.35">
      <c r="A497" s="12">
        <v>295</v>
      </c>
      <c r="B497" s="12" t="s">
        <v>151</v>
      </c>
      <c r="C497" s="12"/>
      <c r="D497" s="12"/>
      <c r="E497" s="12"/>
      <c r="F497" s="12"/>
      <c r="G497" s="12"/>
      <c r="H497" s="12" t="s">
        <v>399</v>
      </c>
      <c r="I497" s="12"/>
      <c r="J497" s="12"/>
      <c r="K497" s="10" t="s">
        <v>274</v>
      </c>
      <c r="L497" s="10"/>
      <c r="M497" s="10"/>
      <c r="N497" s="10"/>
      <c r="O497" s="12" t="s">
        <v>38</v>
      </c>
      <c r="P497" s="12">
        <v>799</v>
      </c>
      <c r="Q497" s="12" t="s">
        <v>271</v>
      </c>
      <c r="R497" s="12" t="s">
        <v>79</v>
      </c>
      <c r="S497" s="12" t="s">
        <v>276</v>
      </c>
      <c r="T497" s="12" t="s">
        <v>159</v>
      </c>
      <c r="U497" s="12" t="s">
        <v>160</v>
      </c>
      <c r="V497" s="12"/>
      <c r="W497" s="12"/>
      <c r="X497" s="12"/>
      <c r="Y497" s="12"/>
      <c r="Z497" s="12"/>
      <c r="AA497" s="12"/>
      <c r="AB497" s="12"/>
      <c r="AC497" s="12" t="str">
        <f>Table1[[#This Row],[City or Community (Santa Clara County)]]</f>
        <v>Cupertino</v>
      </c>
      <c r="AD497" s="12">
        <f>COUNTIF(H:H,Table1[[#This Row],[City or Community (Santa Clara County)]])</f>
        <v>55</v>
      </c>
      <c r="AE497" s="12" t="str">
        <f>Table1[[#This Row],[Please select your county]]</f>
        <v>Santa Clara County</v>
      </c>
      <c r="AF497" s="41">
        <f>COUNTIF(AE:AE,Table1[[#This Row],[County]])</f>
        <v>192</v>
      </c>
      <c r="AG497" s="12">
        <v>2025</v>
      </c>
    </row>
    <row r="498" spans="1:33" ht="31" x14ac:dyDescent="0.35">
      <c r="A498" s="12">
        <v>549</v>
      </c>
      <c r="B498" s="12" t="s">
        <v>151</v>
      </c>
      <c r="C498" s="12"/>
      <c r="D498" s="12"/>
      <c r="E498" s="12"/>
      <c r="F498" s="12"/>
      <c r="G498" s="12"/>
      <c r="H498" s="12" t="s">
        <v>399</v>
      </c>
      <c r="I498" s="12"/>
      <c r="J498" s="12"/>
      <c r="K498" s="10" t="s">
        <v>274</v>
      </c>
      <c r="L498" s="10" t="s">
        <v>279</v>
      </c>
      <c r="M498" s="10" t="s">
        <v>269</v>
      </c>
      <c r="N498" s="10" t="s">
        <v>280</v>
      </c>
      <c r="O498" s="12" t="s">
        <v>38</v>
      </c>
      <c r="P498" s="12">
        <v>799</v>
      </c>
      <c r="Q498" s="12" t="s">
        <v>281</v>
      </c>
      <c r="R498" s="12" t="s">
        <v>79</v>
      </c>
      <c r="S498" s="12" t="s">
        <v>297</v>
      </c>
      <c r="T498" s="12" t="s">
        <v>83</v>
      </c>
      <c r="U498" s="12" t="s">
        <v>160</v>
      </c>
      <c r="V498" s="12"/>
      <c r="W498" s="12"/>
      <c r="X498" s="12"/>
      <c r="Y498" s="12"/>
      <c r="Z498" s="12"/>
      <c r="AA498" s="12"/>
      <c r="AB498" s="12"/>
      <c r="AC498" s="12" t="str">
        <f>Table1[[#This Row],[City or Community (Santa Clara County)]]</f>
        <v>Cupertino</v>
      </c>
      <c r="AD498" s="12">
        <f>COUNTIF(H:H,Table1[[#This Row],[City or Community (Santa Clara County)]])</f>
        <v>55</v>
      </c>
      <c r="AE498" s="12" t="str">
        <f>Table1[[#This Row],[Please select your county]]</f>
        <v>Santa Clara County</v>
      </c>
      <c r="AF498" s="41">
        <f>COUNTIF(AE:AE,Table1[[#This Row],[County]])</f>
        <v>192</v>
      </c>
      <c r="AG498" s="12">
        <v>2025</v>
      </c>
    </row>
    <row r="499" spans="1:33" ht="15.5" x14ac:dyDescent="0.35">
      <c r="A499" s="12">
        <v>446</v>
      </c>
      <c r="B499" s="12" t="s">
        <v>151</v>
      </c>
      <c r="C499" s="12"/>
      <c r="D499" s="12"/>
      <c r="E499" s="12"/>
      <c r="F499" s="12"/>
      <c r="G499" s="12"/>
      <c r="H499" s="12" t="s">
        <v>399</v>
      </c>
      <c r="I499" s="12"/>
      <c r="J499" s="12"/>
      <c r="K499" s="10" t="s">
        <v>274</v>
      </c>
      <c r="L499" s="10" t="s">
        <v>277</v>
      </c>
      <c r="M499" s="10" t="s">
        <v>269</v>
      </c>
      <c r="N499" s="10" t="s">
        <v>288</v>
      </c>
      <c r="O499" s="12" t="s">
        <v>38</v>
      </c>
      <c r="P499" s="12">
        <v>799</v>
      </c>
      <c r="Q499" s="12" t="s">
        <v>295</v>
      </c>
      <c r="R499" s="12" t="s">
        <v>79</v>
      </c>
      <c r="S499" s="12" t="s">
        <v>282</v>
      </c>
      <c r="T499" s="12" t="s">
        <v>159</v>
      </c>
      <c r="U499" s="12" t="s">
        <v>160</v>
      </c>
      <c r="V499" s="12"/>
      <c r="W499" s="12"/>
      <c r="X499" s="12"/>
      <c r="Y499" s="12"/>
      <c r="Z499" s="12"/>
      <c r="AA499" s="12"/>
      <c r="AB499" s="12"/>
      <c r="AC499" s="12" t="str">
        <f>Table1[[#This Row],[City or Community (Santa Clara County)]]</f>
        <v>Cupertino</v>
      </c>
      <c r="AD499" s="12">
        <f>COUNTIF(H:H,Table1[[#This Row],[City or Community (Santa Clara County)]])</f>
        <v>55</v>
      </c>
      <c r="AE499" s="12" t="str">
        <f>Table1[[#This Row],[Please select your county]]</f>
        <v>Santa Clara County</v>
      </c>
      <c r="AF499" s="41">
        <f>COUNTIF(AE:AE,Table1[[#This Row],[County]])</f>
        <v>192</v>
      </c>
      <c r="AG499" s="12">
        <v>2025</v>
      </c>
    </row>
    <row r="500" spans="1:33" ht="15.5" x14ac:dyDescent="0.35">
      <c r="A500" s="12">
        <v>448</v>
      </c>
      <c r="B500" s="12" t="s">
        <v>151</v>
      </c>
      <c r="C500" s="12"/>
      <c r="D500" s="12"/>
      <c r="E500" s="12"/>
      <c r="F500" s="12"/>
      <c r="G500" s="12"/>
      <c r="H500" s="12" t="s">
        <v>399</v>
      </c>
      <c r="I500" s="12"/>
      <c r="J500" s="12"/>
      <c r="K500" s="12" t="s">
        <v>274</v>
      </c>
      <c r="L500" s="12" t="s">
        <v>277</v>
      </c>
      <c r="M500" s="12" t="s">
        <v>269</v>
      </c>
      <c r="N500" s="12" t="s">
        <v>288</v>
      </c>
      <c r="O500" s="12" t="s">
        <v>38</v>
      </c>
      <c r="P500" s="12">
        <v>799</v>
      </c>
      <c r="Q500" s="12" t="s">
        <v>295</v>
      </c>
      <c r="R500" s="12" t="s">
        <v>79</v>
      </c>
      <c r="S500" s="12" t="s">
        <v>298</v>
      </c>
      <c r="T500" s="12" t="s">
        <v>159</v>
      </c>
      <c r="U500" s="12" t="s">
        <v>160</v>
      </c>
      <c r="V500" s="12"/>
      <c r="W500" s="12"/>
      <c r="X500" s="12"/>
      <c r="Y500" s="12"/>
      <c r="Z500" s="12"/>
      <c r="AA500" s="12"/>
      <c r="AB500" s="12"/>
      <c r="AC500" s="12" t="str">
        <f>Table1[[#This Row],[City or Community (Santa Clara County)]]</f>
        <v>Cupertino</v>
      </c>
      <c r="AD500" s="12">
        <f>COUNTIF(H:H,Table1[[#This Row],[City or Community (Santa Clara County)]])</f>
        <v>55</v>
      </c>
      <c r="AE500" s="12" t="str">
        <f>Table1[[#This Row],[Please select your county]]</f>
        <v>Santa Clara County</v>
      </c>
      <c r="AF500" s="41">
        <f>COUNTIF(AE:AE,Table1[[#This Row],[County]])</f>
        <v>192</v>
      </c>
      <c r="AG500" s="12">
        <v>2025</v>
      </c>
    </row>
    <row r="501" spans="1:33" ht="15.5" x14ac:dyDescent="0.35">
      <c r="A501" s="12">
        <v>292</v>
      </c>
      <c r="B501" s="12" t="s">
        <v>151</v>
      </c>
      <c r="C501" s="12"/>
      <c r="D501" s="12"/>
      <c r="E501" s="12"/>
      <c r="F501" s="12"/>
      <c r="G501" s="12"/>
      <c r="H501" s="12" t="s">
        <v>399</v>
      </c>
      <c r="I501" s="12"/>
      <c r="J501" s="12"/>
      <c r="K501" s="10" t="s">
        <v>294</v>
      </c>
      <c r="L501" s="10"/>
      <c r="M501" s="10"/>
      <c r="N501" s="10"/>
      <c r="O501" s="12" t="s">
        <v>38</v>
      </c>
      <c r="P501" s="12">
        <v>799</v>
      </c>
      <c r="Q501" s="12" t="s">
        <v>281</v>
      </c>
      <c r="R501" s="12" t="s">
        <v>79</v>
      </c>
      <c r="S501" s="12" t="s">
        <v>276</v>
      </c>
      <c r="T501" s="12" t="s">
        <v>159</v>
      </c>
      <c r="U501" s="12" t="s">
        <v>160</v>
      </c>
      <c r="V501" s="12"/>
      <c r="W501" s="12"/>
      <c r="X501" s="12"/>
      <c r="Y501" s="12"/>
      <c r="Z501" s="12"/>
      <c r="AA501" s="12"/>
      <c r="AB501" s="12"/>
      <c r="AC501" s="12" t="str">
        <f>Table1[[#This Row],[City or Community (Santa Clara County)]]</f>
        <v>Cupertino</v>
      </c>
      <c r="AD501" s="12">
        <f>COUNTIF(H:H,Table1[[#This Row],[City or Community (Santa Clara County)]])</f>
        <v>55</v>
      </c>
      <c r="AE501" s="12" t="str">
        <f>Table1[[#This Row],[Please select your county]]</f>
        <v>Santa Clara County</v>
      </c>
      <c r="AF501" s="41">
        <f>COUNTIF(AE:AE,Table1[[#This Row],[County]])</f>
        <v>192</v>
      </c>
      <c r="AG501" s="12">
        <v>2025</v>
      </c>
    </row>
    <row r="502" spans="1:33" ht="15.5" x14ac:dyDescent="0.35">
      <c r="A502" s="12">
        <v>257</v>
      </c>
      <c r="B502" s="12" t="s">
        <v>151</v>
      </c>
      <c r="C502" s="12"/>
      <c r="D502" s="12"/>
      <c r="E502" s="12"/>
      <c r="F502" s="12"/>
      <c r="G502" s="12"/>
      <c r="H502" s="12" t="s">
        <v>399</v>
      </c>
      <c r="I502" s="12"/>
      <c r="J502" s="12"/>
      <c r="K502" s="10" t="s">
        <v>274</v>
      </c>
      <c r="L502" s="10"/>
      <c r="M502" s="10"/>
      <c r="N502" s="10"/>
      <c r="O502" s="12" t="s">
        <v>38</v>
      </c>
      <c r="P502" s="12">
        <v>800</v>
      </c>
      <c r="Q502" s="12" t="s">
        <v>295</v>
      </c>
      <c r="R502" s="12" t="s">
        <v>72</v>
      </c>
      <c r="S502" s="12" t="s">
        <v>276</v>
      </c>
      <c r="T502" s="12" t="s">
        <v>159</v>
      </c>
      <c r="U502" s="12" t="s">
        <v>160</v>
      </c>
      <c r="V502" s="12"/>
      <c r="W502" s="12"/>
      <c r="X502" s="12"/>
      <c r="Y502" s="12"/>
      <c r="Z502" s="12"/>
      <c r="AA502" s="12"/>
      <c r="AB502" s="12"/>
      <c r="AC502" s="12" t="str">
        <f>Table1[[#This Row],[City or Community (Santa Clara County)]]</f>
        <v>Cupertino</v>
      </c>
      <c r="AD502" s="12">
        <f>COUNTIF(H:H,Table1[[#This Row],[City or Community (Santa Clara County)]])</f>
        <v>55</v>
      </c>
      <c r="AE502" s="12" t="str">
        <f>Table1[[#This Row],[Please select your county]]</f>
        <v>Santa Clara County</v>
      </c>
      <c r="AF502" s="41">
        <f>COUNTIF(AE:AE,Table1[[#This Row],[County]])</f>
        <v>192</v>
      </c>
      <c r="AG502" s="12">
        <v>2025</v>
      </c>
    </row>
    <row r="503" spans="1:33" ht="15.5" x14ac:dyDescent="0.35">
      <c r="A503" s="12">
        <v>304</v>
      </c>
      <c r="B503" s="12" t="s">
        <v>151</v>
      </c>
      <c r="C503" s="12"/>
      <c r="D503" s="12"/>
      <c r="E503" s="12"/>
      <c r="F503" s="12"/>
      <c r="G503" s="12"/>
      <c r="H503" s="12" t="s">
        <v>399</v>
      </c>
      <c r="I503" s="12"/>
      <c r="J503" s="12"/>
      <c r="K503" s="10" t="s">
        <v>274</v>
      </c>
      <c r="L503" s="10"/>
      <c r="M503" s="10"/>
      <c r="N503" s="10"/>
      <c r="O503" s="12" t="s">
        <v>38</v>
      </c>
      <c r="P503" s="12">
        <v>800</v>
      </c>
      <c r="Q503" s="12" t="s">
        <v>295</v>
      </c>
      <c r="R503" s="12" t="s">
        <v>74</v>
      </c>
      <c r="S503" s="12" t="s">
        <v>276</v>
      </c>
      <c r="T503" s="12" t="s">
        <v>159</v>
      </c>
      <c r="U503" s="12" t="s">
        <v>160</v>
      </c>
      <c r="V503" s="12"/>
      <c r="W503" s="12"/>
      <c r="X503" s="12"/>
      <c r="Y503" s="12"/>
      <c r="Z503" s="12"/>
      <c r="AA503" s="12"/>
      <c r="AB503" s="12"/>
      <c r="AC503" s="12" t="str">
        <f>Table1[[#This Row],[City or Community (Santa Clara County)]]</f>
        <v>Cupertino</v>
      </c>
      <c r="AD503" s="12">
        <f>COUNTIF(H:H,Table1[[#This Row],[City or Community (Santa Clara County)]])</f>
        <v>55</v>
      </c>
      <c r="AE503" s="12" t="str">
        <f>Table1[[#This Row],[Please select your county]]</f>
        <v>Santa Clara County</v>
      </c>
      <c r="AF503" s="41">
        <f>COUNTIF(AE:AE,Table1[[#This Row],[County]])</f>
        <v>192</v>
      </c>
      <c r="AG503" s="12">
        <v>2025</v>
      </c>
    </row>
    <row r="504" spans="1:33" ht="15.5" x14ac:dyDescent="0.35">
      <c r="A504" s="12">
        <v>114</v>
      </c>
      <c r="B504" s="12" t="s">
        <v>151</v>
      </c>
      <c r="C504" s="12"/>
      <c r="D504" s="12"/>
      <c r="E504" s="12"/>
      <c r="F504" s="12"/>
      <c r="G504" s="12"/>
      <c r="H504" s="12" t="s">
        <v>399</v>
      </c>
      <c r="I504" s="12"/>
      <c r="J504" s="12"/>
      <c r="K504" s="10" t="s">
        <v>274</v>
      </c>
      <c r="L504" s="10"/>
      <c r="M504" s="10"/>
      <c r="N504" s="10"/>
      <c r="O504" s="12" t="s">
        <v>38</v>
      </c>
      <c r="P504" s="12">
        <v>800</v>
      </c>
      <c r="Q504" s="12" t="s">
        <v>281</v>
      </c>
      <c r="R504" s="12" t="s">
        <v>79</v>
      </c>
      <c r="S504" s="12" t="s">
        <v>292</v>
      </c>
      <c r="T504" s="12" t="s">
        <v>159</v>
      </c>
      <c r="U504" s="12" t="s">
        <v>160</v>
      </c>
      <c r="V504" s="12"/>
      <c r="W504" s="12"/>
      <c r="X504" s="12"/>
      <c r="Y504" s="12"/>
      <c r="Z504" s="12"/>
      <c r="AA504" s="12"/>
      <c r="AB504" s="12"/>
      <c r="AC504" s="12" t="str">
        <f>Table1[[#This Row],[City or Community (Santa Clara County)]]</f>
        <v>Cupertino</v>
      </c>
      <c r="AD504" s="12">
        <f>COUNTIF(H:H,Table1[[#This Row],[City or Community (Santa Clara County)]])</f>
        <v>55</v>
      </c>
      <c r="AE504" s="12" t="str">
        <f>Table1[[#This Row],[Please select your county]]</f>
        <v>Santa Clara County</v>
      </c>
      <c r="AF504" s="41">
        <f>COUNTIF(AE:AE,Table1[[#This Row],[County]])</f>
        <v>192</v>
      </c>
      <c r="AG504" s="12">
        <v>2025</v>
      </c>
    </row>
    <row r="505" spans="1:33" ht="15.5" x14ac:dyDescent="0.35">
      <c r="A505" s="12">
        <v>270</v>
      </c>
      <c r="B505" s="12" t="s">
        <v>151</v>
      </c>
      <c r="C505" s="12"/>
      <c r="D505" s="12"/>
      <c r="E505" s="12"/>
      <c r="F505" s="12"/>
      <c r="G505" s="12"/>
      <c r="H505" s="12" t="s">
        <v>399</v>
      </c>
      <c r="I505" s="12"/>
      <c r="J505" s="12"/>
      <c r="K505" s="10" t="s">
        <v>274</v>
      </c>
      <c r="L505" s="10"/>
      <c r="M505" s="10"/>
      <c r="N505" s="10"/>
      <c r="O505" s="12" t="s">
        <v>38</v>
      </c>
      <c r="P505" s="12">
        <v>800</v>
      </c>
      <c r="Q505" s="12" t="s">
        <v>295</v>
      </c>
      <c r="R505" s="12" t="s">
        <v>79</v>
      </c>
      <c r="S505" s="12" t="s">
        <v>404</v>
      </c>
      <c r="T505" s="12" t="s">
        <v>83</v>
      </c>
      <c r="U505" s="12" t="s">
        <v>160</v>
      </c>
      <c r="V505" s="12"/>
      <c r="W505" s="12"/>
      <c r="X505" s="12"/>
      <c r="Y505" s="12"/>
      <c r="Z505" s="12"/>
      <c r="AA505" s="12"/>
      <c r="AB505" s="12"/>
      <c r="AC505" s="12" t="str">
        <f>Table1[[#This Row],[City or Community (Santa Clara County)]]</f>
        <v>Cupertino</v>
      </c>
      <c r="AD505" s="12">
        <f>COUNTIF(H:H,Table1[[#This Row],[City or Community (Santa Clara County)]])</f>
        <v>55</v>
      </c>
      <c r="AE505" s="12" t="str">
        <f>Table1[[#This Row],[Please select your county]]</f>
        <v>Santa Clara County</v>
      </c>
      <c r="AF505" s="41">
        <f>COUNTIF(AE:AE,Table1[[#This Row],[County]])</f>
        <v>192</v>
      </c>
      <c r="AG505" s="12">
        <v>2025</v>
      </c>
    </row>
    <row r="506" spans="1:33" ht="15.5" x14ac:dyDescent="0.35">
      <c r="A506" s="12">
        <v>336</v>
      </c>
      <c r="B506" s="12" t="s">
        <v>151</v>
      </c>
      <c r="C506" s="12"/>
      <c r="D506" s="12"/>
      <c r="E506" s="12"/>
      <c r="F506" s="12"/>
      <c r="G506" s="12"/>
      <c r="H506" s="12" t="s">
        <v>399</v>
      </c>
      <c r="I506" s="12"/>
      <c r="J506" s="12"/>
      <c r="K506" s="10" t="s">
        <v>283</v>
      </c>
      <c r="L506" s="10"/>
      <c r="M506" s="10"/>
      <c r="N506" s="10"/>
      <c r="O506" s="12" t="s">
        <v>38</v>
      </c>
      <c r="P506" s="12">
        <v>800</v>
      </c>
      <c r="Q506" s="12" t="s">
        <v>295</v>
      </c>
      <c r="R506" s="12" t="s">
        <v>79</v>
      </c>
      <c r="S506" s="12" t="s">
        <v>405</v>
      </c>
      <c r="T506" s="12" t="s">
        <v>83</v>
      </c>
      <c r="U506" s="12" t="s">
        <v>160</v>
      </c>
      <c r="V506" s="12"/>
      <c r="W506" s="12"/>
      <c r="X506" s="12"/>
      <c r="Y506" s="12"/>
      <c r="Z506" s="12"/>
      <c r="AA506" s="12"/>
      <c r="AB506" s="12"/>
      <c r="AC506" s="12" t="str">
        <f>Table1[[#This Row],[City or Community (Santa Clara County)]]</f>
        <v>Cupertino</v>
      </c>
      <c r="AD506" s="12">
        <f>COUNTIF(H:H,Table1[[#This Row],[City or Community (Santa Clara County)]])</f>
        <v>55</v>
      </c>
      <c r="AE506" s="12" t="str">
        <f>Table1[[#This Row],[Please select your county]]</f>
        <v>Santa Clara County</v>
      </c>
      <c r="AF506" s="41">
        <f>COUNTIF(AE:AE,Table1[[#This Row],[County]])</f>
        <v>192</v>
      </c>
      <c r="AG506" s="12">
        <v>2025</v>
      </c>
    </row>
    <row r="507" spans="1:33" ht="15.5" x14ac:dyDescent="0.35">
      <c r="A507" s="12">
        <v>266</v>
      </c>
      <c r="B507" s="12" t="s">
        <v>151</v>
      </c>
      <c r="C507" s="12"/>
      <c r="D507" s="12"/>
      <c r="E507" s="12"/>
      <c r="F507" s="12"/>
      <c r="G507" s="12"/>
      <c r="H507" s="12" t="s">
        <v>399</v>
      </c>
      <c r="I507" s="12"/>
      <c r="J507" s="12"/>
      <c r="K507" s="10" t="s">
        <v>294</v>
      </c>
      <c r="L507" s="10"/>
      <c r="M507" s="10"/>
      <c r="N507" s="10"/>
      <c r="O507" s="12" t="s">
        <v>38</v>
      </c>
      <c r="P507" s="12">
        <v>800</v>
      </c>
      <c r="Q507" s="12" t="s">
        <v>281</v>
      </c>
      <c r="R507" s="12" t="s">
        <v>79</v>
      </c>
      <c r="S507" s="12" t="s">
        <v>276</v>
      </c>
      <c r="T507" s="12" t="s">
        <v>159</v>
      </c>
      <c r="U507" s="12" t="s">
        <v>160</v>
      </c>
      <c r="V507" s="12"/>
      <c r="W507" s="12"/>
      <c r="X507" s="12"/>
      <c r="Y507" s="12"/>
      <c r="Z507" s="12"/>
      <c r="AA507" s="12"/>
      <c r="AB507" s="12"/>
      <c r="AC507" s="12" t="str">
        <f>Table1[[#This Row],[City or Community (Santa Clara County)]]</f>
        <v>Cupertino</v>
      </c>
      <c r="AD507" s="12">
        <f>COUNTIF(H:H,Table1[[#This Row],[City or Community (Santa Clara County)]])</f>
        <v>55</v>
      </c>
      <c r="AE507" s="12" t="str">
        <f>Table1[[#This Row],[Please select your county]]</f>
        <v>Santa Clara County</v>
      </c>
      <c r="AF507" s="41">
        <f>COUNTIF(AE:AE,Table1[[#This Row],[County]])</f>
        <v>192</v>
      </c>
      <c r="AG507" s="12">
        <v>2025</v>
      </c>
    </row>
    <row r="508" spans="1:33" ht="15.5" x14ac:dyDescent="0.35">
      <c r="A508" s="12">
        <v>305</v>
      </c>
      <c r="B508" s="12" t="s">
        <v>151</v>
      </c>
      <c r="C508" s="12"/>
      <c r="D508" s="12"/>
      <c r="E508" s="12"/>
      <c r="F508" s="12"/>
      <c r="G508" s="12"/>
      <c r="H508" s="12" t="s">
        <v>399</v>
      </c>
      <c r="I508" s="12"/>
      <c r="J508" s="12"/>
      <c r="K508" s="10" t="s">
        <v>267</v>
      </c>
      <c r="L508" s="10"/>
      <c r="M508" s="10"/>
      <c r="N508" s="10"/>
      <c r="O508" s="12" t="s">
        <v>38</v>
      </c>
      <c r="P508" s="12">
        <v>800</v>
      </c>
      <c r="Q508" s="12" t="s">
        <v>295</v>
      </c>
      <c r="R508" s="12" t="s">
        <v>73</v>
      </c>
      <c r="S508" s="12" t="s">
        <v>276</v>
      </c>
      <c r="T508" s="12" t="s">
        <v>159</v>
      </c>
      <c r="U508" s="12" t="s">
        <v>160</v>
      </c>
      <c r="V508" s="12"/>
      <c r="W508" s="12"/>
      <c r="X508" s="12"/>
      <c r="Y508" s="12"/>
      <c r="Z508" s="12"/>
      <c r="AA508" s="12"/>
      <c r="AB508" s="12"/>
      <c r="AC508" s="12" t="str">
        <f>Table1[[#This Row],[City or Community (Santa Clara County)]]</f>
        <v>Cupertino</v>
      </c>
      <c r="AD508" s="12">
        <f>COUNTIF(H:H,Table1[[#This Row],[City or Community (Santa Clara County)]])</f>
        <v>55</v>
      </c>
      <c r="AE508" s="12" t="str">
        <f>Table1[[#This Row],[Please select your county]]</f>
        <v>Santa Clara County</v>
      </c>
      <c r="AF508" s="41">
        <f>COUNTIF(AE:AE,Table1[[#This Row],[County]])</f>
        <v>192</v>
      </c>
      <c r="AG508" s="12">
        <v>2025</v>
      </c>
    </row>
    <row r="509" spans="1:33" ht="15.5" x14ac:dyDescent="0.35">
      <c r="A509" s="12">
        <v>392</v>
      </c>
      <c r="B509" s="12" t="s">
        <v>151</v>
      </c>
      <c r="C509" s="12"/>
      <c r="D509" s="12"/>
      <c r="E509" s="12"/>
      <c r="F509" s="12"/>
      <c r="G509" s="12"/>
      <c r="H509" s="12" t="s">
        <v>399</v>
      </c>
      <c r="I509" s="12"/>
      <c r="J509" s="12"/>
      <c r="K509" s="10" t="s">
        <v>273</v>
      </c>
      <c r="L509" s="12" t="s">
        <v>277</v>
      </c>
      <c r="M509" s="12" t="s">
        <v>269</v>
      </c>
      <c r="N509" s="12" t="s">
        <v>288</v>
      </c>
      <c r="O509" s="12" t="s">
        <v>39</v>
      </c>
      <c r="P509" s="12">
        <v>800</v>
      </c>
      <c r="Q509" s="12" t="s">
        <v>295</v>
      </c>
      <c r="R509" s="12" t="s">
        <v>76</v>
      </c>
      <c r="S509" s="12" t="s">
        <v>304</v>
      </c>
      <c r="T509" s="12" t="s">
        <v>159</v>
      </c>
      <c r="U509" s="12" t="s">
        <v>160</v>
      </c>
      <c r="V509" s="12"/>
      <c r="W509" s="12"/>
      <c r="X509" s="12"/>
      <c r="Y509" s="12"/>
      <c r="Z509" s="12"/>
      <c r="AA509" s="12"/>
      <c r="AB509" s="12"/>
      <c r="AC509" s="12" t="str">
        <f>Table1[[#This Row],[City or Community (Santa Clara County)]]</f>
        <v>Cupertino</v>
      </c>
      <c r="AD509" s="12">
        <f>COUNTIF(H:H,Table1[[#This Row],[City or Community (Santa Clara County)]])</f>
        <v>55</v>
      </c>
      <c r="AE509" s="12" t="str">
        <f>Table1[[#This Row],[Please select your county]]</f>
        <v>Santa Clara County</v>
      </c>
      <c r="AF509" s="41">
        <f>COUNTIF(AE:AE,Table1[[#This Row],[County]])</f>
        <v>192</v>
      </c>
      <c r="AG509" s="12">
        <v>2025</v>
      </c>
    </row>
    <row r="510" spans="1:33" ht="31" x14ac:dyDescent="0.35">
      <c r="A510" s="12">
        <v>452</v>
      </c>
      <c r="B510" s="12" t="s">
        <v>151</v>
      </c>
      <c r="C510" s="12"/>
      <c r="D510" s="12"/>
      <c r="E510" s="12"/>
      <c r="F510" s="12"/>
      <c r="G510" s="12"/>
      <c r="H510" s="12" t="s">
        <v>399</v>
      </c>
      <c r="I510" s="12"/>
      <c r="J510" s="12"/>
      <c r="K510" s="10" t="s">
        <v>274</v>
      </c>
      <c r="L510" s="10" t="s">
        <v>277</v>
      </c>
      <c r="M510" s="10" t="s">
        <v>269</v>
      </c>
      <c r="N510" s="10" t="s">
        <v>280</v>
      </c>
      <c r="O510" s="12" t="s">
        <v>38</v>
      </c>
      <c r="P510" s="12">
        <v>850</v>
      </c>
      <c r="Q510" s="12" t="s">
        <v>295</v>
      </c>
      <c r="R510" s="12" t="s">
        <v>79</v>
      </c>
      <c r="S510" s="12" t="s">
        <v>276</v>
      </c>
      <c r="T510" s="12" t="s">
        <v>159</v>
      </c>
      <c r="U510" s="12" t="s">
        <v>160</v>
      </c>
      <c r="V510" s="12"/>
      <c r="W510" s="12"/>
      <c r="X510" s="12"/>
      <c r="Y510" s="12"/>
      <c r="Z510" s="12"/>
      <c r="AA510" s="12"/>
      <c r="AB510" s="12"/>
      <c r="AC510" s="12" t="str">
        <f>Table1[[#This Row],[City or Community (Santa Clara County)]]</f>
        <v>Cupertino</v>
      </c>
      <c r="AD510" s="12">
        <f>COUNTIF(H:H,Table1[[#This Row],[City or Community (Santa Clara County)]])</f>
        <v>55</v>
      </c>
      <c r="AE510" s="12" t="str">
        <f>Table1[[#This Row],[Please select your county]]</f>
        <v>Santa Clara County</v>
      </c>
      <c r="AF510" s="41">
        <f>COUNTIF(AE:AE,Table1[[#This Row],[County]])</f>
        <v>192</v>
      </c>
      <c r="AG510" s="12">
        <v>2025</v>
      </c>
    </row>
    <row r="511" spans="1:33" ht="15.5" x14ac:dyDescent="0.35">
      <c r="A511" s="12">
        <v>278</v>
      </c>
      <c r="B511" s="12" t="s">
        <v>151</v>
      </c>
      <c r="C511" s="12"/>
      <c r="D511" s="12"/>
      <c r="E511" s="12"/>
      <c r="F511" s="12"/>
      <c r="G511" s="12"/>
      <c r="H511" s="12" t="s">
        <v>399</v>
      </c>
      <c r="I511" s="12"/>
      <c r="J511" s="12"/>
      <c r="K511" s="10" t="s">
        <v>274</v>
      </c>
      <c r="L511" s="10"/>
      <c r="M511" s="10"/>
      <c r="N511" s="10"/>
      <c r="O511" s="12" t="s">
        <v>38</v>
      </c>
      <c r="P511" s="12">
        <v>900</v>
      </c>
      <c r="Q511" s="12" t="s">
        <v>281</v>
      </c>
      <c r="R511" s="12" t="s">
        <v>79</v>
      </c>
      <c r="S511" s="12" t="s">
        <v>276</v>
      </c>
      <c r="T511" s="12" t="s">
        <v>83</v>
      </c>
      <c r="U511" s="12" t="s">
        <v>160</v>
      </c>
      <c r="V511" s="12"/>
      <c r="W511" s="12"/>
      <c r="X511" s="12"/>
      <c r="Y511" s="12"/>
      <c r="Z511" s="12"/>
      <c r="AA511" s="12"/>
      <c r="AB511" s="12"/>
      <c r="AC511" s="12" t="str">
        <f>Table1[[#This Row],[City or Community (Santa Clara County)]]</f>
        <v>Cupertino</v>
      </c>
      <c r="AD511" s="12">
        <f>COUNTIF(H:H,Table1[[#This Row],[City or Community (Santa Clara County)]])</f>
        <v>55</v>
      </c>
      <c r="AE511" s="12" t="str">
        <f>Table1[[#This Row],[Please select your county]]</f>
        <v>Santa Clara County</v>
      </c>
      <c r="AF511" s="41">
        <f>COUNTIF(AE:AE,Table1[[#This Row],[County]])</f>
        <v>192</v>
      </c>
      <c r="AG511" s="12">
        <v>2025</v>
      </c>
    </row>
    <row r="512" spans="1:33" ht="15.5" x14ac:dyDescent="0.35">
      <c r="A512" s="12">
        <v>233</v>
      </c>
      <c r="B512" s="12" t="s">
        <v>151</v>
      </c>
      <c r="C512" s="12"/>
      <c r="D512" s="12"/>
      <c r="E512" s="12"/>
      <c r="F512" s="12"/>
      <c r="G512" s="12"/>
      <c r="H512" s="12" t="s">
        <v>399</v>
      </c>
      <c r="I512" s="12"/>
      <c r="J512" s="12"/>
      <c r="K512" s="10" t="s">
        <v>267</v>
      </c>
      <c r="L512" s="10"/>
      <c r="M512" s="10"/>
      <c r="N512" s="10"/>
      <c r="O512" s="12" t="s">
        <v>38</v>
      </c>
      <c r="P512" s="12">
        <v>1200</v>
      </c>
      <c r="Q512" s="12" t="s">
        <v>326</v>
      </c>
      <c r="R512" s="12" t="s">
        <v>74</v>
      </c>
      <c r="S512" s="12" t="s">
        <v>284</v>
      </c>
      <c r="T512" s="12" t="s">
        <v>159</v>
      </c>
      <c r="U512" s="12" t="s">
        <v>160</v>
      </c>
      <c r="V512" s="12"/>
      <c r="W512" s="12"/>
      <c r="X512" s="12"/>
      <c r="Y512" s="12"/>
      <c r="Z512" s="12"/>
      <c r="AA512" s="12"/>
      <c r="AB512" s="12"/>
      <c r="AC512" s="12" t="str">
        <f>Table1[[#This Row],[City or Community (Santa Clara County)]]</f>
        <v>Cupertino</v>
      </c>
      <c r="AD512" s="12">
        <f>COUNTIF(H:H,Table1[[#This Row],[City or Community (Santa Clara County)]])</f>
        <v>55</v>
      </c>
      <c r="AE512" s="12" t="str">
        <f>Table1[[#This Row],[Please select your county]]</f>
        <v>Santa Clara County</v>
      </c>
      <c r="AF512" s="41">
        <f>COUNTIF(AE:AE,Table1[[#This Row],[County]])</f>
        <v>192</v>
      </c>
      <c r="AG512" s="12">
        <v>2025</v>
      </c>
    </row>
    <row r="513" spans="1:33" ht="31" x14ac:dyDescent="0.35">
      <c r="A513" s="12">
        <v>585</v>
      </c>
      <c r="B513" s="12" t="s">
        <v>151</v>
      </c>
      <c r="C513" s="12"/>
      <c r="D513" s="12"/>
      <c r="E513" s="12"/>
      <c r="F513" s="12"/>
      <c r="G513" s="12"/>
      <c r="H513" s="12" t="s">
        <v>406</v>
      </c>
      <c r="I513" s="12"/>
      <c r="J513" s="12"/>
      <c r="K513" s="10" t="s">
        <v>273</v>
      </c>
      <c r="L513" s="10" t="s">
        <v>279</v>
      </c>
      <c r="M513" s="10" t="s">
        <v>269</v>
      </c>
      <c r="N513" s="10" t="s">
        <v>278</v>
      </c>
      <c r="O513" s="12" t="s">
        <v>39</v>
      </c>
      <c r="P513" s="12">
        <v>240</v>
      </c>
      <c r="Q513" s="12" t="s">
        <v>271</v>
      </c>
      <c r="R513" s="12" t="s">
        <v>76</v>
      </c>
      <c r="S513" s="12" t="s">
        <v>276</v>
      </c>
      <c r="T513" s="12" t="s">
        <v>160</v>
      </c>
      <c r="U513" s="12" t="s">
        <v>160</v>
      </c>
      <c r="V513" s="12"/>
      <c r="W513" s="12"/>
      <c r="X513" s="12"/>
      <c r="Y513" s="12"/>
      <c r="Z513" s="12"/>
      <c r="AA513" s="12"/>
      <c r="AB513" s="12"/>
      <c r="AC513" s="12" t="str">
        <f>Table1[[#This Row],[City or Community (Santa Clara County)]]</f>
        <v>Sunnyvale</v>
      </c>
      <c r="AD513" s="12">
        <f>COUNTIF(H:H,Table1[[#This Row],[City or Community (Santa Clara County)]])</f>
        <v>38</v>
      </c>
      <c r="AE513" s="12" t="str">
        <f>Table1[[#This Row],[Please select your county]]</f>
        <v>Santa Clara County</v>
      </c>
      <c r="AF513" s="41">
        <f>COUNTIF(AE:AE,Table1[[#This Row],[County]])</f>
        <v>192</v>
      </c>
      <c r="AG513" s="12">
        <v>2025</v>
      </c>
    </row>
    <row r="514" spans="1:33" ht="31" x14ac:dyDescent="0.35">
      <c r="A514" s="12">
        <v>489</v>
      </c>
      <c r="B514" s="12" t="s">
        <v>151</v>
      </c>
      <c r="C514" s="12"/>
      <c r="D514" s="12"/>
      <c r="E514" s="12"/>
      <c r="F514" s="12"/>
      <c r="G514" s="12"/>
      <c r="H514" s="12" t="s">
        <v>406</v>
      </c>
      <c r="I514" s="12"/>
      <c r="J514" s="12"/>
      <c r="K514" s="10" t="s">
        <v>287</v>
      </c>
      <c r="L514" s="10" t="s">
        <v>277</v>
      </c>
      <c r="M514" s="10" t="s">
        <v>269</v>
      </c>
      <c r="N514" s="10" t="s">
        <v>280</v>
      </c>
      <c r="O514" s="12" t="s">
        <v>38</v>
      </c>
      <c r="P514" s="12">
        <v>293</v>
      </c>
      <c r="Q514" s="12" t="s">
        <v>281</v>
      </c>
      <c r="R514" s="12" t="s">
        <v>68</v>
      </c>
      <c r="S514" s="12" t="s">
        <v>276</v>
      </c>
      <c r="T514" s="12" t="s">
        <v>159</v>
      </c>
      <c r="U514" s="12" t="s">
        <v>160</v>
      </c>
      <c r="V514" s="12"/>
      <c r="W514" s="12"/>
      <c r="X514" s="12"/>
      <c r="Y514" s="12"/>
      <c r="Z514" s="12"/>
      <c r="AA514" s="12"/>
      <c r="AB514" s="12"/>
      <c r="AC514" s="12" t="str">
        <f>Table1[[#This Row],[City or Community (Santa Clara County)]]</f>
        <v>Sunnyvale</v>
      </c>
      <c r="AD514" s="12">
        <f>COUNTIF(H:H,Table1[[#This Row],[City or Community (Santa Clara County)]])</f>
        <v>38</v>
      </c>
      <c r="AE514" s="12" t="str">
        <f>Table1[[#This Row],[Please select your county]]</f>
        <v>Santa Clara County</v>
      </c>
      <c r="AF514" s="41">
        <f>COUNTIF(AE:AE,Table1[[#This Row],[County]])</f>
        <v>192</v>
      </c>
      <c r="AG514" s="12">
        <v>2025</v>
      </c>
    </row>
    <row r="515" spans="1:33" ht="15.5" x14ac:dyDescent="0.35">
      <c r="A515" s="12">
        <v>475</v>
      </c>
      <c r="B515" s="12" t="s">
        <v>151</v>
      </c>
      <c r="C515" s="12"/>
      <c r="D515" s="12"/>
      <c r="E515" s="12"/>
      <c r="F515" s="12"/>
      <c r="G515" s="12"/>
      <c r="H515" s="12" t="s">
        <v>406</v>
      </c>
      <c r="I515" s="12"/>
      <c r="J515" s="12"/>
      <c r="K515" s="12" t="s">
        <v>287</v>
      </c>
      <c r="L515" s="12" t="s">
        <v>312</v>
      </c>
      <c r="M515" s="12" t="s">
        <v>269</v>
      </c>
      <c r="N515" s="12" t="s">
        <v>288</v>
      </c>
      <c r="O515" s="12" t="s">
        <v>38</v>
      </c>
      <c r="P515" s="12">
        <v>300</v>
      </c>
      <c r="Q515" s="12" t="s">
        <v>271</v>
      </c>
      <c r="R515" s="12" t="s">
        <v>70</v>
      </c>
      <c r="S515" s="12" t="s">
        <v>276</v>
      </c>
      <c r="T515" s="12" t="s">
        <v>159</v>
      </c>
      <c r="U515" s="12" t="s">
        <v>160</v>
      </c>
      <c r="V515" s="12"/>
      <c r="W515" s="12"/>
      <c r="X515" s="12"/>
      <c r="Y515" s="12"/>
      <c r="Z515" s="12"/>
      <c r="AA515" s="12"/>
      <c r="AB515" s="12"/>
      <c r="AC515" s="12" t="str">
        <f>Table1[[#This Row],[City or Community (Santa Clara County)]]</f>
        <v>Sunnyvale</v>
      </c>
      <c r="AD515" s="12">
        <f>COUNTIF(H:H,Table1[[#This Row],[City or Community (Santa Clara County)]])</f>
        <v>38</v>
      </c>
      <c r="AE515" s="12" t="str">
        <f>Table1[[#This Row],[Please select your county]]</f>
        <v>Santa Clara County</v>
      </c>
      <c r="AF515" s="41">
        <f>COUNTIF(AE:AE,Table1[[#This Row],[County]])</f>
        <v>192</v>
      </c>
      <c r="AG515" s="12">
        <v>2025</v>
      </c>
    </row>
    <row r="516" spans="1:33" ht="15.5" x14ac:dyDescent="0.35">
      <c r="A516" s="12">
        <v>267</v>
      </c>
      <c r="B516" s="12" t="s">
        <v>151</v>
      </c>
      <c r="C516" s="12"/>
      <c r="D516" s="12"/>
      <c r="E516" s="12"/>
      <c r="F516" s="12"/>
      <c r="G516" s="12"/>
      <c r="H516" s="12" t="s">
        <v>406</v>
      </c>
      <c r="I516" s="12"/>
      <c r="J516" s="12"/>
      <c r="K516" s="10" t="s">
        <v>294</v>
      </c>
      <c r="L516" s="10"/>
      <c r="M516" s="10"/>
      <c r="N516" s="10"/>
      <c r="O516" s="12" t="s">
        <v>38</v>
      </c>
      <c r="P516" s="12">
        <v>320</v>
      </c>
      <c r="Q516" s="12" t="s">
        <v>271</v>
      </c>
      <c r="R516" s="12" t="s">
        <v>79</v>
      </c>
      <c r="S516" s="12" t="s">
        <v>272</v>
      </c>
      <c r="T516" s="12" t="s">
        <v>160</v>
      </c>
      <c r="U516" s="12" t="s">
        <v>160</v>
      </c>
      <c r="V516" s="12"/>
      <c r="W516" s="12"/>
      <c r="X516" s="12"/>
      <c r="Y516" s="12"/>
      <c r="Z516" s="12"/>
      <c r="AA516" s="12"/>
      <c r="AB516" s="12"/>
      <c r="AC516" s="12" t="str">
        <f>Table1[[#This Row],[City or Community (Santa Clara County)]]</f>
        <v>Sunnyvale</v>
      </c>
      <c r="AD516" s="12">
        <f>COUNTIF(H:H,Table1[[#This Row],[City or Community (Santa Clara County)]])</f>
        <v>38</v>
      </c>
      <c r="AE516" s="12" t="str">
        <f>Table1[[#This Row],[Please select your county]]</f>
        <v>Santa Clara County</v>
      </c>
      <c r="AF516" s="41">
        <f>COUNTIF(AE:AE,Table1[[#This Row],[County]])</f>
        <v>192</v>
      </c>
      <c r="AG516" s="12">
        <v>2025</v>
      </c>
    </row>
    <row r="517" spans="1:33" ht="15.5" x14ac:dyDescent="0.35">
      <c r="A517" s="12">
        <v>508</v>
      </c>
      <c r="B517" s="12" t="s">
        <v>151</v>
      </c>
      <c r="C517" s="12"/>
      <c r="D517" s="12"/>
      <c r="E517" s="12"/>
      <c r="F517" s="12"/>
      <c r="G517" s="12"/>
      <c r="H517" s="12" t="s">
        <v>406</v>
      </c>
      <c r="I517" s="12"/>
      <c r="J517" s="12"/>
      <c r="K517" s="12" t="s">
        <v>371</v>
      </c>
      <c r="L517" s="12" t="s">
        <v>277</v>
      </c>
      <c r="M517" s="12" t="s">
        <v>269</v>
      </c>
      <c r="N517" s="12" t="s">
        <v>280</v>
      </c>
      <c r="O517" s="12" t="s">
        <v>38</v>
      </c>
      <c r="P517" s="12">
        <v>330</v>
      </c>
      <c r="Q517" s="12" t="s">
        <v>281</v>
      </c>
      <c r="R517" s="12" t="s">
        <v>69</v>
      </c>
      <c r="S517" s="12" t="s">
        <v>276</v>
      </c>
      <c r="T517" s="12" t="s">
        <v>159</v>
      </c>
      <c r="U517" s="12" t="s">
        <v>160</v>
      </c>
      <c r="V517" s="12"/>
      <c r="W517" s="12"/>
      <c r="X517" s="12"/>
      <c r="Y517" s="12"/>
      <c r="Z517" s="12"/>
      <c r="AA517" s="12"/>
      <c r="AB517" s="12"/>
      <c r="AC517" s="12" t="str">
        <f>Table1[[#This Row],[City or Community (Santa Clara County)]]</f>
        <v>Sunnyvale</v>
      </c>
      <c r="AD517" s="12">
        <f>COUNTIF(H:H,Table1[[#This Row],[City or Community (Santa Clara County)]])</f>
        <v>38</v>
      </c>
      <c r="AE517" s="12" t="str">
        <f>Table1[[#This Row],[Please select your county]]</f>
        <v>Santa Clara County</v>
      </c>
      <c r="AF517" s="41">
        <f>COUNTIF(AE:AE,Table1[[#This Row],[County]])</f>
        <v>192</v>
      </c>
      <c r="AG517" s="12">
        <v>2025</v>
      </c>
    </row>
    <row r="518" spans="1:33" ht="15.5" x14ac:dyDescent="0.35">
      <c r="A518" s="12">
        <v>284</v>
      </c>
      <c r="B518" s="12" t="s">
        <v>151</v>
      </c>
      <c r="C518" s="12"/>
      <c r="D518" s="12"/>
      <c r="E518" s="12"/>
      <c r="F518" s="12"/>
      <c r="G518" s="12"/>
      <c r="H518" s="12" t="s">
        <v>406</v>
      </c>
      <c r="I518" s="12"/>
      <c r="J518" s="12"/>
      <c r="K518" s="10" t="s">
        <v>274</v>
      </c>
      <c r="L518" s="10"/>
      <c r="M518" s="10"/>
      <c r="N518" s="10"/>
      <c r="O518" s="12" t="s">
        <v>38</v>
      </c>
      <c r="P518" s="12">
        <v>350</v>
      </c>
      <c r="Q518" s="12" t="s">
        <v>271</v>
      </c>
      <c r="R518" s="12" t="s">
        <v>68</v>
      </c>
      <c r="S518" s="12" t="s">
        <v>276</v>
      </c>
      <c r="T518" s="12" t="s">
        <v>159</v>
      </c>
      <c r="U518" s="12" t="s">
        <v>160</v>
      </c>
      <c r="V518" s="12"/>
      <c r="W518" s="12"/>
      <c r="X518" s="12"/>
      <c r="Y518" s="12"/>
      <c r="Z518" s="12"/>
      <c r="AA518" s="12"/>
      <c r="AB518" s="12"/>
      <c r="AC518" s="12" t="str">
        <f>Table1[[#This Row],[City or Community (Santa Clara County)]]</f>
        <v>Sunnyvale</v>
      </c>
      <c r="AD518" s="12">
        <f>COUNTIF(H:H,Table1[[#This Row],[City or Community (Santa Clara County)]])</f>
        <v>38</v>
      </c>
      <c r="AE518" s="12" t="str">
        <f>Table1[[#This Row],[Please select your county]]</f>
        <v>Santa Clara County</v>
      </c>
      <c r="AF518" s="41">
        <f>COUNTIF(AE:AE,Table1[[#This Row],[County]])</f>
        <v>192</v>
      </c>
      <c r="AG518" s="12">
        <v>2025</v>
      </c>
    </row>
    <row r="519" spans="1:33" ht="15.5" x14ac:dyDescent="0.35">
      <c r="A519" s="12">
        <v>294</v>
      </c>
      <c r="B519" s="12" t="s">
        <v>151</v>
      </c>
      <c r="C519" s="12"/>
      <c r="D519" s="12"/>
      <c r="E519" s="12"/>
      <c r="F519" s="12"/>
      <c r="G519" s="12"/>
      <c r="H519" s="12" t="s">
        <v>406</v>
      </c>
      <c r="I519" s="12"/>
      <c r="J519" s="12"/>
      <c r="K519" s="10" t="s">
        <v>274</v>
      </c>
      <c r="L519" s="10"/>
      <c r="M519" s="10"/>
      <c r="N519" s="10"/>
      <c r="O519" s="12" t="s">
        <v>38</v>
      </c>
      <c r="P519" s="12">
        <v>350</v>
      </c>
      <c r="Q519" s="12" t="s">
        <v>281</v>
      </c>
      <c r="R519" s="12" t="s">
        <v>165</v>
      </c>
      <c r="S519" s="12" t="s">
        <v>276</v>
      </c>
      <c r="T519" s="12" t="s">
        <v>159</v>
      </c>
      <c r="U519" s="12" t="s">
        <v>160</v>
      </c>
      <c r="V519" s="12"/>
      <c r="W519" s="12"/>
      <c r="X519" s="12"/>
      <c r="Y519" s="12"/>
      <c r="Z519" s="12"/>
      <c r="AA519" s="12"/>
      <c r="AB519" s="12"/>
      <c r="AC519" s="12" t="str">
        <f>Table1[[#This Row],[City or Community (Santa Clara County)]]</f>
        <v>Sunnyvale</v>
      </c>
      <c r="AD519" s="12">
        <f>COUNTIF(H:H,Table1[[#This Row],[City or Community (Santa Clara County)]])</f>
        <v>38</v>
      </c>
      <c r="AE519" s="12" t="str">
        <f>Table1[[#This Row],[Please select your county]]</f>
        <v>Santa Clara County</v>
      </c>
      <c r="AF519" s="41">
        <f>COUNTIF(AE:AE,Table1[[#This Row],[County]])</f>
        <v>192</v>
      </c>
      <c r="AG519" s="12">
        <v>2025</v>
      </c>
    </row>
    <row r="520" spans="1:33" ht="31" x14ac:dyDescent="0.35">
      <c r="A520" s="12">
        <v>517</v>
      </c>
      <c r="B520" s="12" t="s">
        <v>151</v>
      </c>
      <c r="C520" s="12"/>
      <c r="D520" s="12"/>
      <c r="E520" s="12"/>
      <c r="F520" s="12"/>
      <c r="G520" s="12"/>
      <c r="H520" s="12" t="s">
        <v>406</v>
      </c>
      <c r="I520" s="12"/>
      <c r="J520" s="12"/>
      <c r="K520" s="10" t="s">
        <v>287</v>
      </c>
      <c r="L520" s="10" t="s">
        <v>277</v>
      </c>
      <c r="M520" s="10" t="s">
        <v>301</v>
      </c>
      <c r="N520" s="10" t="s">
        <v>280</v>
      </c>
      <c r="O520" s="12" t="s">
        <v>38</v>
      </c>
      <c r="P520" s="12">
        <v>350</v>
      </c>
      <c r="Q520" s="12" t="s">
        <v>271</v>
      </c>
      <c r="R520" s="12" t="s">
        <v>70</v>
      </c>
      <c r="S520" s="12" t="s">
        <v>272</v>
      </c>
      <c r="T520" s="12" t="s">
        <v>159</v>
      </c>
      <c r="U520" s="12" t="s">
        <v>160</v>
      </c>
      <c r="V520" s="12"/>
      <c r="W520" s="12"/>
      <c r="X520" s="12"/>
      <c r="Y520" s="12"/>
      <c r="Z520" s="12"/>
      <c r="AA520" s="12"/>
      <c r="AB520" s="12"/>
      <c r="AC520" s="12" t="str">
        <f>Table1[[#This Row],[City or Community (Santa Clara County)]]</f>
        <v>Sunnyvale</v>
      </c>
      <c r="AD520" s="12">
        <f>COUNTIF(H:H,Table1[[#This Row],[City or Community (Santa Clara County)]])</f>
        <v>38</v>
      </c>
      <c r="AE520" s="12" t="str">
        <f>Table1[[#This Row],[Please select your county]]</f>
        <v>Santa Clara County</v>
      </c>
      <c r="AF520" s="41">
        <f>COUNTIF(AE:AE,Table1[[#This Row],[County]])</f>
        <v>192</v>
      </c>
      <c r="AG520" s="12">
        <v>2025</v>
      </c>
    </row>
    <row r="521" spans="1:33" ht="15.5" x14ac:dyDescent="0.35">
      <c r="A521" s="12">
        <v>192</v>
      </c>
      <c r="B521" s="12" t="s">
        <v>151</v>
      </c>
      <c r="C521" s="12"/>
      <c r="D521" s="12"/>
      <c r="E521" s="12"/>
      <c r="F521" s="12"/>
      <c r="G521" s="12"/>
      <c r="H521" s="12" t="s">
        <v>406</v>
      </c>
      <c r="I521" s="12"/>
      <c r="J521" s="12"/>
      <c r="K521" s="10" t="s">
        <v>274</v>
      </c>
      <c r="L521" s="10"/>
      <c r="M521" s="10"/>
      <c r="N521" s="10"/>
      <c r="O521" s="12" t="s">
        <v>38</v>
      </c>
      <c r="P521" s="12">
        <v>365</v>
      </c>
      <c r="Q521" s="12" t="s">
        <v>271</v>
      </c>
      <c r="R521" s="12" t="s">
        <v>79</v>
      </c>
      <c r="S521" s="12" t="s">
        <v>272</v>
      </c>
      <c r="T521" s="12" t="s">
        <v>160</v>
      </c>
      <c r="U521" s="12" t="s">
        <v>160</v>
      </c>
      <c r="V521" s="12"/>
      <c r="W521" s="12"/>
      <c r="X521" s="12"/>
      <c r="Y521" s="12"/>
      <c r="Z521" s="12"/>
      <c r="AA521" s="12"/>
      <c r="AB521" s="12"/>
      <c r="AC521" s="12" t="str">
        <f>Table1[[#This Row],[City or Community (Santa Clara County)]]</f>
        <v>Sunnyvale</v>
      </c>
      <c r="AD521" s="12">
        <f>COUNTIF(H:H,Table1[[#This Row],[City or Community (Santa Clara County)]])</f>
        <v>38</v>
      </c>
      <c r="AE521" s="12" t="str">
        <f>Table1[[#This Row],[Please select your county]]</f>
        <v>Santa Clara County</v>
      </c>
      <c r="AF521" s="41">
        <f>COUNTIF(AE:AE,Table1[[#This Row],[County]])</f>
        <v>192</v>
      </c>
      <c r="AG521" s="12">
        <v>2025</v>
      </c>
    </row>
    <row r="522" spans="1:33" ht="31" x14ac:dyDescent="0.35">
      <c r="A522" s="12">
        <v>599</v>
      </c>
      <c r="B522" s="12" t="s">
        <v>151</v>
      </c>
      <c r="C522" s="12"/>
      <c r="D522" s="12"/>
      <c r="E522" s="12"/>
      <c r="F522" s="12"/>
      <c r="G522" s="12"/>
      <c r="H522" s="12" t="s">
        <v>406</v>
      </c>
      <c r="I522" s="12"/>
      <c r="J522" s="12"/>
      <c r="K522" s="10" t="s">
        <v>274</v>
      </c>
      <c r="L522" s="10" t="s">
        <v>277</v>
      </c>
      <c r="M522" s="10" t="s">
        <v>269</v>
      </c>
      <c r="N522" s="10" t="s">
        <v>278</v>
      </c>
      <c r="O522" s="12" t="s">
        <v>38</v>
      </c>
      <c r="P522" s="12">
        <v>388</v>
      </c>
      <c r="Q522" s="12" t="s">
        <v>281</v>
      </c>
      <c r="R522" s="12" t="s">
        <v>69</v>
      </c>
      <c r="S522" s="12" t="s">
        <v>276</v>
      </c>
      <c r="T522" s="12" t="s">
        <v>159</v>
      </c>
      <c r="U522" s="12" t="s">
        <v>160</v>
      </c>
      <c r="V522" s="12"/>
      <c r="W522" s="12"/>
      <c r="X522" s="12"/>
      <c r="Y522" s="12"/>
      <c r="Z522" s="12"/>
      <c r="AA522" s="12"/>
      <c r="AB522" s="12"/>
      <c r="AC522" s="12" t="str">
        <f>Table1[[#This Row],[City or Community (Santa Clara County)]]</f>
        <v>Sunnyvale</v>
      </c>
      <c r="AD522" s="12">
        <f>COUNTIF(H:H,Table1[[#This Row],[City or Community (Santa Clara County)]])</f>
        <v>38</v>
      </c>
      <c r="AE522" s="12" t="str">
        <f>Table1[[#This Row],[Please select your county]]</f>
        <v>Santa Clara County</v>
      </c>
      <c r="AF522" s="41">
        <f>COUNTIF(AE:AE,Table1[[#This Row],[County]])</f>
        <v>192</v>
      </c>
      <c r="AG522" s="12">
        <v>2025</v>
      </c>
    </row>
    <row r="523" spans="1:33" ht="15.5" x14ac:dyDescent="0.35">
      <c r="A523" s="12">
        <v>333</v>
      </c>
      <c r="B523" s="12" t="s">
        <v>151</v>
      </c>
      <c r="C523" s="12"/>
      <c r="D523" s="12"/>
      <c r="E523" s="12"/>
      <c r="F523" s="12"/>
      <c r="G523" s="12"/>
      <c r="H523" s="12" t="s">
        <v>406</v>
      </c>
      <c r="I523" s="12"/>
      <c r="J523" s="12"/>
      <c r="K523" s="10" t="s">
        <v>294</v>
      </c>
      <c r="L523" s="10"/>
      <c r="M523" s="10"/>
      <c r="N523" s="10"/>
      <c r="O523" s="12" t="s">
        <v>38</v>
      </c>
      <c r="P523" s="12">
        <v>400</v>
      </c>
      <c r="Q523" s="12" t="s">
        <v>271</v>
      </c>
      <c r="R523" s="12" t="s">
        <v>79</v>
      </c>
      <c r="S523" s="12" t="s">
        <v>272</v>
      </c>
      <c r="T523" s="12" t="s">
        <v>159</v>
      </c>
      <c r="U523" s="12" t="s">
        <v>160</v>
      </c>
      <c r="V523" s="12"/>
      <c r="W523" s="12"/>
      <c r="X523" s="12"/>
      <c r="Y523" s="12"/>
      <c r="Z523" s="12"/>
      <c r="AA523" s="12"/>
      <c r="AB523" s="12"/>
      <c r="AC523" s="12" t="str">
        <f>Table1[[#This Row],[City or Community (Santa Clara County)]]</f>
        <v>Sunnyvale</v>
      </c>
      <c r="AD523" s="12">
        <f>COUNTIF(H:H,Table1[[#This Row],[City or Community (Santa Clara County)]])</f>
        <v>38</v>
      </c>
      <c r="AE523" s="12" t="str">
        <f>Table1[[#This Row],[Please select your county]]</f>
        <v>Santa Clara County</v>
      </c>
      <c r="AF523" s="41">
        <f>COUNTIF(AE:AE,Table1[[#This Row],[County]])</f>
        <v>192</v>
      </c>
      <c r="AG523" s="12">
        <v>2025</v>
      </c>
    </row>
    <row r="524" spans="1:33" ht="31" x14ac:dyDescent="0.35">
      <c r="A524" s="12">
        <v>535</v>
      </c>
      <c r="B524" s="12" t="s">
        <v>151</v>
      </c>
      <c r="C524" s="12"/>
      <c r="D524" s="12"/>
      <c r="E524" s="12"/>
      <c r="F524" s="12"/>
      <c r="G524" s="12"/>
      <c r="H524" s="12" t="s">
        <v>406</v>
      </c>
      <c r="I524" s="12"/>
      <c r="J524" s="12"/>
      <c r="K524" s="10" t="s">
        <v>267</v>
      </c>
      <c r="L524" s="10" t="s">
        <v>279</v>
      </c>
      <c r="M524" s="10" t="s">
        <v>301</v>
      </c>
      <c r="N524" s="10" t="s">
        <v>280</v>
      </c>
      <c r="O524" s="12" t="s">
        <v>38</v>
      </c>
      <c r="P524" s="12">
        <v>400</v>
      </c>
      <c r="Q524" s="12" t="s">
        <v>281</v>
      </c>
      <c r="R524" s="12" t="s">
        <v>67</v>
      </c>
      <c r="S524" s="12" t="s">
        <v>298</v>
      </c>
      <c r="T524" s="12" t="s">
        <v>159</v>
      </c>
      <c r="U524" s="12" t="s">
        <v>160</v>
      </c>
      <c r="V524" s="12"/>
      <c r="W524" s="12"/>
      <c r="X524" s="12"/>
      <c r="Y524" s="12"/>
      <c r="Z524" s="12"/>
      <c r="AA524" s="12"/>
      <c r="AB524" s="12"/>
      <c r="AC524" s="12" t="str">
        <f>Table1[[#This Row],[City or Community (Santa Clara County)]]</f>
        <v>Sunnyvale</v>
      </c>
      <c r="AD524" s="12">
        <f>COUNTIF(H:H,Table1[[#This Row],[City or Community (Santa Clara County)]])</f>
        <v>38</v>
      </c>
      <c r="AE524" s="12" t="str">
        <f>Table1[[#This Row],[Please select your county]]</f>
        <v>Santa Clara County</v>
      </c>
      <c r="AF524" s="41">
        <f>COUNTIF(AE:AE,Table1[[#This Row],[County]])</f>
        <v>192</v>
      </c>
      <c r="AG524" s="12">
        <v>2025</v>
      </c>
    </row>
    <row r="525" spans="1:33" ht="15.5" x14ac:dyDescent="0.35">
      <c r="A525" s="12">
        <v>249</v>
      </c>
      <c r="B525" s="12" t="s">
        <v>151</v>
      </c>
      <c r="C525" s="12"/>
      <c r="D525" s="12"/>
      <c r="E525" s="12"/>
      <c r="F525" s="12"/>
      <c r="G525" s="12"/>
      <c r="H525" s="12" t="s">
        <v>406</v>
      </c>
      <c r="I525" s="12"/>
      <c r="J525" s="12"/>
      <c r="K525" s="10" t="s">
        <v>267</v>
      </c>
      <c r="L525" s="10"/>
      <c r="M525" s="10"/>
      <c r="N525" s="10"/>
      <c r="O525" s="12" t="s">
        <v>38</v>
      </c>
      <c r="P525" s="12">
        <v>450</v>
      </c>
      <c r="Q525" s="12" t="s">
        <v>281</v>
      </c>
      <c r="R525" s="12" t="s">
        <v>71</v>
      </c>
      <c r="S525" s="12" t="s">
        <v>298</v>
      </c>
      <c r="T525" s="12" t="s">
        <v>83</v>
      </c>
      <c r="U525" s="12" t="s">
        <v>160</v>
      </c>
      <c r="V525" s="12"/>
      <c r="W525" s="12"/>
      <c r="X525" s="12"/>
      <c r="Y525" s="12"/>
      <c r="Z525" s="12"/>
      <c r="AA525" s="12"/>
      <c r="AB525" s="12"/>
      <c r="AC525" s="12" t="str">
        <f>Table1[[#This Row],[City or Community (Santa Clara County)]]</f>
        <v>Sunnyvale</v>
      </c>
      <c r="AD525" s="12">
        <f>COUNTIF(H:H,Table1[[#This Row],[City or Community (Santa Clara County)]])</f>
        <v>38</v>
      </c>
      <c r="AE525" s="12" t="str">
        <f>Table1[[#This Row],[Please select your county]]</f>
        <v>Santa Clara County</v>
      </c>
      <c r="AF525" s="41">
        <f>COUNTIF(AE:AE,Table1[[#This Row],[County]])</f>
        <v>192</v>
      </c>
      <c r="AG525" s="12">
        <v>2025</v>
      </c>
    </row>
    <row r="526" spans="1:33" ht="31" x14ac:dyDescent="0.35">
      <c r="A526" s="12">
        <v>434</v>
      </c>
      <c r="B526" s="12" t="s">
        <v>151</v>
      </c>
      <c r="C526" s="12"/>
      <c r="D526" s="12"/>
      <c r="E526" s="12"/>
      <c r="F526" s="12"/>
      <c r="G526" s="12"/>
      <c r="H526" s="12" t="s">
        <v>406</v>
      </c>
      <c r="I526" s="12"/>
      <c r="J526" s="12"/>
      <c r="K526" s="10" t="s">
        <v>274</v>
      </c>
      <c r="L526" s="10" t="s">
        <v>268</v>
      </c>
      <c r="M526" s="10" t="s">
        <v>269</v>
      </c>
      <c r="N526" s="10" t="s">
        <v>278</v>
      </c>
      <c r="O526" s="12" t="s">
        <v>38</v>
      </c>
      <c r="P526" s="12">
        <v>487</v>
      </c>
      <c r="Q526" s="12" t="s">
        <v>281</v>
      </c>
      <c r="R526" s="12" t="s">
        <v>69</v>
      </c>
      <c r="S526" s="12" t="s">
        <v>297</v>
      </c>
      <c r="T526" s="12" t="s">
        <v>159</v>
      </c>
      <c r="U526" s="12" t="s">
        <v>160</v>
      </c>
      <c r="V526" s="12"/>
      <c r="W526" s="12"/>
      <c r="X526" s="12"/>
      <c r="Y526" s="12"/>
      <c r="Z526" s="12"/>
      <c r="AA526" s="12"/>
      <c r="AB526" s="12"/>
      <c r="AC526" s="12" t="str">
        <f>Table1[[#This Row],[City or Community (Santa Clara County)]]</f>
        <v>Sunnyvale</v>
      </c>
      <c r="AD526" s="12">
        <f>COUNTIF(H:H,Table1[[#This Row],[City or Community (Santa Clara County)]])</f>
        <v>38</v>
      </c>
      <c r="AE526" s="12" t="str">
        <f>Table1[[#This Row],[Please select your county]]</f>
        <v>Santa Clara County</v>
      </c>
      <c r="AF526" s="41">
        <f>COUNTIF(AE:AE,Table1[[#This Row],[County]])</f>
        <v>192</v>
      </c>
      <c r="AG526" s="12">
        <v>2025</v>
      </c>
    </row>
    <row r="527" spans="1:33" ht="15.5" x14ac:dyDescent="0.35">
      <c r="A527" s="12">
        <v>199</v>
      </c>
      <c r="B527" s="12" t="s">
        <v>151</v>
      </c>
      <c r="C527" s="12"/>
      <c r="D527" s="12"/>
      <c r="E527" s="12"/>
      <c r="F527" s="12"/>
      <c r="G527" s="12"/>
      <c r="H527" s="12" t="s">
        <v>406</v>
      </c>
      <c r="I527" s="12"/>
      <c r="J527" s="12"/>
      <c r="K527" s="10" t="s">
        <v>274</v>
      </c>
      <c r="L527" s="10"/>
      <c r="M527" s="10"/>
      <c r="N527" s="10"/>
      <c r="O527" s="12" t="s">
        <v>38</v>
      </c>
      <c r="P527" s="12">
        <v>490</v>
      </c>
      <c r="Q527" s="12" t="s">
        <v>281</v>
      </c>
      <c r="R527" s="12" t="s">
        <v>70</v>
      </c>
      <c r="S527" s="12" t="s">
        <v>276</v>
      </c>
      <c r="T527" s="12" t="s">
        <v>83</v>
      </c>
      <c r="U527" s="12" t="s">
        <v>160</v>
      </c>
      <c r="V527" s="12"/>
      <c r="W527" s="12"/>
      <c r="X527" s="12"/>
      <c r="Y527" s="12"/>
      <c r="Z527" s="12"/>
      <c r="AA527" s="12"/>
      <c r="AB527" s="12"/>
      <c r="AC527" s="12" t="str">
        <f>Table1[[#This Row],[City or Community (Santa Clara County)]]</f>
        <v>Sunnyvale</v>
      </c>
      <c r="AD527" s="12">
        <f>COUNTIF(H:H,Table1[[#This Row],[City or Community (Santa Clara County)]])</f>
        <v>38</v>
      </c>
      <c r="AE527" s="12" t="str">
        <f>Table1[[#This Row],[Please select your county]]</f>
        <v>Santa Clara County</v>
      </c>
      <c r="AF527" s="41">
        <f>COUNTIF(AE:AE,Table1[[#This Row],[County]])</f>
        <v>192</v>
      </c>
      <c r="AG527" s="12">
        <v>2025</v>
      </c>
    </row>
    <row r="528" spans="1:33" ht="31" x14ac:dyDescent="0.35">
      <c r="A528" s="12">
        <v>506</v>
      </c>
      <c r="B528" s="12" t="s">
        <v>151</v>
      </c>
      <c r="C528" s="12"/>
      <c r="D528" s="12"/>
      <c r="E528" s="12"/>
      <c r="F528" s="12"/>
      <c r="G528" s="12"/>
      <c r="H528" s="12" t="s">
        <v>406</v>
      </c>
      <c r="I528" s="12"/>
      <c r="J528" s="12"/>
      <c r="K528" s="10" t="s">
        <v>294</v>
      </c>
      <c r="L528" s="10" t="s">
        <v>277</v>
      </c>
      <c r="M528" s="10" t="s">
        <v>301</v>
      </c>
      <c r="N528" s="10" t="s">
        <v>280</v>
      </c>
      <c r="O528" s="12" t="s">
        <v>38</v>
      </c>
      <c r="P528" s="12">
        <v>499</v>
      </c>
      <c r="Q528" s="12" t="s">
        <v>271</v>
      </c>
      <c r="R528" s="12" t="s">
        <v>79</v>
      </c>
      <c r="S528" s="12" t="s">
        <v>357</v>
      </c>
      <c r="T528" s="12" t="s">
        <v>159</v>
      </c>
      <c r="U528" s="12" t="s">
        <v>159</v>
      </c>
      <c r="V528" s="12" t="s">
        <v>163</v>
      </c>
      <c r="W528" s="12" t="s">
        <v>289</v>
      </c>
      <c r="X528" s="12"/>
      <c r="Y528" s="12" t="s">
        <v>407</v>
      </c>
      <c r="Z528" s="12" t="s">
        <v>408</v>
      </c>
      <c r="AA528" s="12" t="s">
        <v>300</v>
      </c>
      <c r="AB528" s="12" t="s">
        <v>188</v>
      </c>
      <c r="AC528" s="12" t="str">
        <f>Table1[[#This Row],[City or Community (Santa Clara County)]]</f>
        <v>Sunnyvale</v>
      </c>
      <c r="AD528" s="12">
        <f>COUNTIF(H:H,Table1[[#This Row],[City or Community (Santa Clara County)]])</f>
        <v>38</v>
      </c>
      <c r="AE528" s="12" t="str">
        <f>Table1[[#This Row],[Please select your county]]</f>
        <v>Santa Clara County</v>
      </c>
      <c r="AF528" s="41">
        <f>COUNTIF(AE:AE,Table1[[#This Row],[County]])</f>
        <v>192</v>
      </c>
      <c r="AG528" s="12">
        <v>2025</v>
      </c>
    </row>
    <row r="529" spans="1:33" ht="15.5" x14ac:dyDescent="0.35">
      <c r="A529" s="12">
        <v>224</v>
      </c>
      <c r="B529" s="12" t="s">
        <v>151</v>
      </c>
      <c r="C529" s="12"/>
      <c r="D529" s="12"/>
      <c r="E529" s="12"/>
      <c r="F529" s="12"/>
      <c r="G529" s="12"/>
      <c r="H529" s="12" t="s">
        <v>406</v>
      </c>
      <c r="I529" s="12"/>
      <c r="J529" s="12"/>
      <c r="K529" s="12" t="s">
        <v>274</v>
      </c>
      <c r="L529" s="12"/>
      <c r="M529" s="12"/>
      <c r="N529" s="12"/>
      <c r="O529" s="12" t="s">
        <v>38</v>
      </c>
      <c r="P529" s="12">
        <v>510</v>
      </c>
      <c r="Q529" s="12" t="s">
        <v>281</v>
      </c>
      <c r="R529" s="12" t="s">
        <v>165</v>
      </c>
      <c r="S529" s="12" t="s">
        <v>276</v>
      </c>
      <c r="T529" s="12" t="s">
        <v>159</v>
      </c>
      <c r="U529" s="12" t="s">
        <v>160</v>
      </c>
      <c r="V529" s="12"/>
      <c r="W529" s="12"/>
      <c r="X529" s="12"/>
      <c r="Y529" s="12"/>
      <c r="Z529" s="12"/>
      <c r="AA529" s="12"/>
      <c r="AB529" s="12"/>
      <c r="AC529" s="12" t="str">
        <f>Table1[[#This Row],[City or Community (Santa Clara County)]]</f>
        <v>Sunnyvale</v>
      </c>
      <c r="AD529" s="12">
        <f>COUNTIF(H:H,Table1[[#This Row],[City or Community (Santa Clara County)]])</f>
        <v>38</v>
      </c>
      <c r="AE529" s="12" t="str">
        <f>Table1[[#This Row],[Please select your county]]</f>
        <v>Santa Clara County</v>
      </c>
      <c r="AF529" s="41">
        <f>COUNTIF(AE:AE,Table1[[#This Row],[County]])</f>
        <v>192</v>
      </c>
      <c r="AG529" s="12">
        <v>2025</v>
      </c>
    </row>
    <row r="530" spans="1:33" ht="31" x14ac:dyDescent="0.35">
      <c r="A530" s="12">
        <v>347</v>
      </c>
      <c r="B530" s="12" t="s">
        <v>151</v>
      </c>
      <c r="C530" s="12"/>
      <c r="D530" s="12"/>
      <c r="E530" s="12"/>
      <c r="F530" s="12"/>
      <c r="G530" s="12"/>
      <c r="H530" s="12" t="s">
        <v>406</v>
      </c>
      <c r="I530" s="12"/>
      <c r="J530" s="12"/>
      <c r="K530" s="10" t="s">
        <v>273</v>
      </c>
      <c r="L530" s="10" t="s">
        <v>279</v>
      </c>
      <c r="M530" s="10" t="s">
        <v>269</v>
      </c>
      <c r="N530" s="10" t="s">
        <v>278</v>
      </c>
      <c r="O530" s="12" t="s">
        <v>39</v>
      </c>
      <c r="P530" s="12">
        <v>512</v>
      </c>
      <c r="Q530" s="12" t="s">
        <v>281</v>
      </c>
      <c r="R530" s="12" t="s">
        <v>76</v>
      </c>
      <c r="S530" s="12" t="s">
        <v>272</v>
      </c>
      <c r="T530" s="12" t="s">
        <v>160</v>
      </c>
      <c r="U530" s="12" t="s">
        <v>160</v>
      </c>
      <c r="V530" s="12"/>
      <c r="W530" s="12"/>
      <c r="X530" s="12"/>
      <c r="Y530" s="12"/>
      <c r="Z530" s="12"/>
      <c r="AA530" s="12"/>
      <c r="AB530" s="12"/>
      <c r="AC530" s="12" t="str">
        <f>Table1[[#This Row],[City or Community (Santa Clara County)]]</f>
        <v>Sunnyvale</v>
      </c>
      <c r="AD530" s="12">
        <f>COUNTIF(H:H,Table1[[#This Row],[City or Community (Santa Clara County)]])</f>
        <v>38</v>
      </c>
      <c r="AE530" s="12" t="str">
        <f>Table1[[#This Row],[Please select your county]]</f>
        <v>Santa Clara County</v>
      </c>
      <c r="AF530" s="41">
        <f>COUNTIF(AE:AE,Table1[[#This Row],[County]])</f>
        <v>192</v>
      </c>
      <c r="AG530" s="12">
        <v>2025</v>
      </c>
    </row>
    <row r="531" spans="1:33" ht="31" x14ac:dyDescent="0.35">
      <c r="A531" s="12">
        <v>363</v>
      </c>
      <c r="B531" s="12" t="s">
        <v>151</v>
      </c>
      <c r="C531" s="12"/>
      <c r="D531" s="12"/>
      <c r="E531" s="12"/>
      <c r="F531" s="12"/>
      <c r="G531" s="12"/>
      <c r="H531" s="12" t="s">
        <v>406</v>
      </c>
      <c r="I531" s="12"/>
      <c r="J531" s="12"/>
      <c r="K531" s="10" t="s">
        <v>274</v>
      </c>
      <c r="L531" s="10" t="s">
        <v>312</v>
      </c>
      <c r="M531" s="10" t="s">
        <v>269</v>
      </c>
      <c r="N531" s="10" t="s">
        <v>280</v>
      </c>
      <c r="O531" s="12" t="s">
        <v>38</v>
      </c>
      <c r="P531" s="12">
        <v>562</v>
      </c>
      <c r="Q531" s="12" t="s">
        <v>281</v>
      </c>
      <c r="R531" s="12" t="s">
        <v>165</v>
      </c>
      <c r="S531" s="12" t="s">
        <v>276</v>
      </c>
      <c r="T531" s="12" t="s">
        <v>159</v>
      </c>
      <c r="U531" s="12" t="s">
        <v>160</v>
      </c>
      <c r="V531" s="12"/>
      <c r="W531" s="12"/>
      <c r="X531" s="12"/>
      <c r="Y531" s="12"/>
      <c r="Z531" s="12"/>
      <c r="AA531" s="12"/>
      <c r="AB531" s="12"/>
      <c r="AC531" s="12" t="str">
        <f>Table1[[#This Row],[City or Community (Santa Clara County)]]</f>
        <v>Sunnyvale</v>
      </c>
      <c r="AD531" s="12">
        <f>COUNTIF(H:H,Table1[[#This Row],[City or Community (Santa Clara County)]])</f>
        <v>38</v>
      </c>
      <c r="AE531" s="12" t="str">
        <f>Table1[[#This Row],[Please select your county]]</f>
        <v>Santa Clara County</v>
      </c>
      <c r="AF531" s="41">
        <f>COUNTIF(AE:AE,Table1[[#This Row],[County]])</f>
        <v>192</v>
      </c>
      <c r="AG531" s="12">
        <v>2025</v>
      </c>
    </row>
    <row r="532" spans="1:33" ht="15.5" x14ac:dyDescent="0.35">
      <c r="A532" s="12">
        <v>229</v>
      </c>
      <c r="B532" s="12" t="s">
        <v>151</v>
      </c>
      <c r="C532" s="12"/>
      <c r="D532" s="12"/>
      <c r="E532" s="12"/>
      <c r="F532" s="12"/>
      <c r="G532" s="12"/>
      <c r="H532" s="12" t="s">
        <v>406</v>
      </c>
      <c r="I532" s="12"/>
      <c r="J532" s="12"/>
      <c r="K532" s="10" t="s">
        <v>348</v>
      </c>
      <c r="L532" s="10"/>
      <c r="M532" s="10"/>
      <c r="N532" s="10"/>
      <c r="O532" s="12" t="s">
        <v>38</v>
      </c>
      <c r="P532" s="12">
        <v>575</v>
      </c>
      <c r="Q532" s="12" t="s">
        <v>281</v>
      </c>
      <c r="R532" s="12" t="s">
        <v>79</v>
      </c>
      <c r="S532" s="12" t="s">
        <v>276</v>
      </c>
      <c r="T532" s="12" t="s">
        <v>159</v>
      </c>
      <c r="U532" s="12" t="s">
        <v>160</v>
      </c>
      <c r="V532" s="12"/>
      <c r="W532" s="12"/>
      <c r="X532" s="12"/>
      <c r="Y532" s="12"/>
      <c r="Z532" s="12"/>
      <c r="AA532" s="12"/>
      <c r="AB532" s="12"/>
      <c r="AC532" s="12" t="str">
        <f>Table1[[#This Row],[City or Community (Santa Clara County)]]</f>
        <v>Sunnyvale</v>
      </c>
      <c r="AD532" s="12">
        <f>COUNTIF(H:H,Table1[[#This Row],[City or Community (Santa Clara County)]])</f>
        <v>38</v>
      </c>
      <c r="AE532" s="12" t="str">
        <f>Table1[[#This Row],[Please select your county]]</f>
        <v>Santa Clara County</v>
      </c>
      <c r="AF532" s="41">
        <f>COUNTIF(AE:AE,Table1[[#This Row],[County]])</f>
        <v>192</v>
      </c>
      <c r="AG532" s="12">
        <v>2025</v>
      </c>
    </row>
    <row r="533" spans="1:33" ht="15.5" x14ac:dyDescent="0.35">
      <c r="A533" s="12">
        <v>248</v>
      </c>
      <c r="B533" s="12" t="s">
        <v>151</v>
      </c>
      <c r="C533" s="12"/>
      <c r="D533" s="12"/>
      <c r="E533" s="12"/>
      <c r="F533" s="12"/>
      <c r="G533" s="12"/>
      <c r="H533" s="12" t="s">
        <v>406</v>
      </c>
      <c r="I533" s="12"/>
      <c r="J533" s="12"/>
      <c r="K533" s="10" t="s">
        <v>287</v>
      </c>
      <c r="L533" s="10"/>
      <c r="M533" s="10"/>
      <c r="N533" s="10"/>
      <c r="O533" s="12" t="s">
        <v>38</v>
      </c>
      <c r="P533" s="12">
        <v>577</v>
      </c>
      <c r="Q533" s="12" t="s">
        <v>295</v>
      </c>
      <c r="R533" s="12" t="s">
        <v>165</v>
      </c>
      <c r="S533" s="12" t="s">
        <v>357</v>
      </c>
      <c r="T533" s="12" t="s">
        <v>159</v>
      </c>
      <c r="U533" s="12" t="s">
        <v>160</v>
      </c>
      <c r="V533" s="12"/>
      <c r="W533" s="12"/>
      <c r="X533" s="12"/>
      <c r="Y533" s="12"/>
      <c r="Z533" s="12"/>
      <c r="AA533" s="12"/>
      <c r="AB533" s="12"/>
      <c r="AC533" s="12" t="str">
        <f>Table1[[#This Row],[City or Community (Santa Clara County)]]</f>
        <v>Sunnyvale</v>
      </c>
      <c r="AD533" s="12">
        <f>COUNTIF(H:H,Table1[[#This Row],[City or Community (Santa Clara County)]])</f>
        <v>38</v>
      </c>
      <c r="AE533" s="12" t="str">
        <f>Table1[[#This Row],[Please select your county]]</f>
        <v>Santa Clara County</v>
      </c>
      <c r="AF533" s="41">
        <f>COUNTIF(AE:AE,Table1[[#This Row],[County]])</f>
        <v>192</v>
      </c>
      <c r="AG533" s="12">
        <v>2025</v>
      </c>
    </row>
    <row r="534" spans="1:33" ht="31" x14ac:dyDescent="0.35">
      <c r="A534" s="12">
        <v>493</v>
      </c>
      <c r="B534" s="12" t="s">
        <v>151</v>
      </c>
      <c r="C534" s="12"/>
      <c r="D534" s="12"/>
      <c r="E534" s="12"/>
      <c r="F534" s="12"/>
      <c r="G534" s="12"/>
      <c r="H534" s="12" t="s">
        <v>406</v>
      </c>
      <c r="I534" s="12"/>
      <c r="J534" s="12"/>
      <c r="K534" s="10" t="s">
        <v>287</v>
      </c>
      <c r="L534" s="10" t="s">
        <v>268</v>
      </c>
      <c r="M534" s="10" t="s">
        <v>269</v>
      </c>
      <c r="N534" s="10" t="s">
        <v>280</v>
      </c>
      <c r="O534" s="12" t="s">
        <v>38</v>
      </c>
      <c r="P534" s="12">
        <v>590</v>
      </c>
      <c r="Q534" s="12" t="s">
        <v>281</v>
      </c>
      <c r="R534" s="12" t="s">
        <v>79</v>
      </c>
      <c r="S534" s="12" t="s">
        <v>272</v>
      </c>
      <c r="T534" s="12" t="s">
        <v>159</v>
      </c>
      <c r="U534" s="12" t="s">
        <v>160</v>
      </c>
      <c r="V534" s="12"/>
      <c r="W534" s="12"/>
      <c r="X534" s="12"/>
      <c r="Y534" s="12"/>
      <c r="Z534" s="12"/>
      <c r="AA534" s="12"/>
      <c r="AB534" s="12"/>
      <c r="AC534" s="12" t="str">
        <f>Table1[[#This Row],[City or Community (Santa Clara County)]]</f>
        <v>Sunnyvale</v>
      </c>
      <c r="AD534" s="12">
        <f>COUNTIF(H:H,Table1[[#This Row],[City or Community (Santa Clara County)]])</f>
        <v>38</v>
      </c>
      <c r="AE534" s="12" t="str">
        <f>Table1[[#This Row],[Please select your county]]</f>
        <v>Santa Clara County</v>
      </c>
      <c r="AF534" s="41">
        <f>COUNTIF(AE:AE,Table1[[#This Row],[County]])</f>
        <v>192</v>
      </c>
      <c r="AG534" s="12">
        <v>2025</v>
      </c>
    </row>
    <row r="535" spans="1:33" ht="15.5" x14ac:dyDescent="0.35">
      <c r="A535" s="12">
        <v>443</v>
      </c>
      <c r="B535" s="12" t="s">
        <v>151</v>
      </c>
      <c r="C535" s="12"/>
      <c r="D535" s="12"/>
      <c r="E535" s="12"/>
      <c r="F535" s="12"/>
      <c r="G535" s="12"/>
      <c r="H535" s="12" t="s">
        <v>406</v>
      </c>
      <c r="I535" s="12"/>
      <c r="J535" s="12"/>
      <c r="K535" s="12" t="s">
        <v>274</v>
      </c>
      <c r="L535" s="12" t="s">
        <v>312</v>
      </c>
      <c r="M535" s="12" t="s">
        <v>269</v>
      </c>
      <c r="N535" s="12" t="s">
        <v>278</v>
      </c>
      <c r="O535" s="12" t="s">
        <v>38</v>
      </c>
      <c r="P535" s="12">
        <v>600</v>
      </c>
      <c r="Q535" s="12" t="s">
        <v>281</v>
      </c>
      <c r="R535" s="12" t="s">
        <v>69</v>
      </c>
      <c r="S535" s="12" t="s">
        <v>276</v>
      </c>
      <c r="T535" s="12" t="s">
        <v>83</v>
      </c>
      <c r="U535" s="12" t="s">
        <v>160</v>
      </c>
      <c r="V535" s="12"/>
      <c r="W535" s="12"/>
      <c r="X535" s="12"/>
      <c r="Y535" s="12"/>
      <c r="Z535" s="12"/>
      <c r="AA535" s="12"/>
      <c r="AB535" s="12"/>
      <c r="AC535" s="12" t="str">
        <f>Table1[[#This Row],[City or Community (Santa Clara County)]]</f>
        <v>Sunnyvale</v>
      </c>
      <c r="AD535" s="12">
        <f>COUNTIF(H:H,Table1[[#This Row],[City or Community (Santa Clara County)]])</f>
        <v>38</v>
      </c>
      <c r="AE535" s="12" t="str">
        <f>Table1[[#This Row],[Please select your county]]</f>
        <v>Santa Clara County</v>
      </c>
      <c r="AF535" s="41">
        <f>COUNTIF(AE:AE,Table1[[#This Row],[County]])</f>
        <v>192</v>
      </c>
      <c r="AG535" s="12">
        <v>2025</v>
      </c>
    </row>
    <row r="536" spans="1:33" ht="15.5" x14ac:dyDescent="0.35">
      <c r="A536" s="12">
        <v>381</v>
      </c>
      <c r="B536" s="12" t="s">
        <v>151</v>
      </c>
      <c r="C536" s="12"/>
      <c r="D536" s="12"/>
      <c r="E536" s="12"/>
      <c r="F536" s="12"/>
      <c r="G536" s="12"/>
      <c r="H536" s="12" t="s">
        <v>406</v>
      </c>
      <c r="I536" s="12"/>
      <c r="J536" s="12"/>
      <c r="K536" s="12" t="s">
        <v>274</v>
      </c>
      <c r="L536" s="12" t="s">
        <v>277</v>
      </c>
      <c r="M536" s="12" t="s">
        <v>269</v>
      </c>
      <c r="N536" s="12" t="s">
        <v>280</v>
      </c>
      <c r="O536" s="12" t="s">
        <v>38</v>
      </c>
      <c r="P536" s="12">
        <v>600</v>
      </c>
      <c r="Q536" s="12" t="s">
        <v>295</v>
      </c>
      <c r="R536" s="12" t="s">
        <v>79</v>
      </c>
      <c r="S536" s="12" t="s">
        <v>276</v>
      </c>
      <c r="T536" s="12" t="s">
        <v>160</v>
      </c>
      <c r="U536" s="12" t="s">
        <v>160</v>
      </c>
      <c r="V536" s="12"/>
      <c r="W536" s="12"/>
      <c r="X536" s="12"/>
      <c r="Y536" s="12"/>
      <c r="Z536" s="12"/>
      <c r="AA536" s="12"/>
      <c r="AB536" s="12"/>
      <c r="AC536" s="12" t="str">
        <f>Table1[[#This Row],[City or Community (Santa Clara County)]]</f>
        <v>Sunnyvale</v>
      </c>
      <c r="AD536" s="12">
        <f>COUNTIF(H:H,Table1[[#This Row],[City or Community (Santa Clara County)]])</f>
        <v>38</v>
      </c>
      <c r="AE536" s="12" t="str">
        <f>Table1[[#This Row],[Please select your county]]</f>
        <v>Santa Clara County</v>
      </c>
      <c r="AF536" s="41">
        <f>COUNTIF(AE:AE,Table1[[#This Row],[County]])</f>
        <v>192</v>
      </c>
      <c r="AG536" s="12">
        <v>2025</v>
      </c>
    </row>
    <row r="537" spans="1:33" ht="31" x14ac:dyDescent="0.35">
      <c r="A537" s="12">
        <v>573</v>
      </c>
      <c r="B537" s="12" t="s">
        <v>151</v>
      </c>
      <c r="C537" s="12"/>
      <c r="D537" s="12"/>
      <c r="E537" s="12"/>
      <c r="F537" s="12"/>
      <c r="G537" s="12"/>
      <c r="H537" s="12" t="s">
        <v>406</v>
      </c>
      <c r="I537" s="12"/>
      <c r="J537" s="12"/>
      <c r="K537" s="10" t="s">
        <v>274</v>
      </c>
      <c r="L537" s="10" t="s">
        <v>277</v>
      </c>
      <c r="M537" s="10" t="s">
        <v>269</v>
      </c>
      <c r="N537" s="10" t="s">
        <v>278</v>
      </c>
      <c r="O537" s="12" t="s">
        <v>38</v>
      </c>
      <c r="P537" s="12">
        <v>659</v>
      </c>
      <c r="Q537" s="12" t="s">
        <v>281</v>
      </c>
      <c r="R537" s="12" t="s">
        <v>79</v>
      </c>
      <c r="S537" s="12" t="s">
        <v>276</v>
      </c>
      <c r="T537" s="12" t="s">
        <v>159</v>
      </c>
      <c r="U537" s="12" t="s">
        <v>160</v>
      </c>
      <c r="V537" s="12"/>
      <c r="W537" s="12"/>
      <c r="X537" s="12"/>
      <c r="Y537" s="12"/>
      <c r="Z537" s="12"/>
      <c r="AA537" s="12"/>
      <c r="AB537" s="12"/>
      <c r="AC537" s="12" t="str">
        <f>Table1[[#This Row],[City or Community (Santa Clara County)]]</f>
        <v>Sunnyvale</v>
      </c>
      <c r="AD537" s="12">
        <f>COUNTIF(H:H,Table1[[#This Row],[City or Community (Santa Clara County)]])</f>
        <v>38</v>
      </c>
      <c r="AE537" s="12" t="str">
        <f>Table1[[#This Row],[Please select your county]]</f>
        <v>Santa Clara County</v>
      </c>
      <c r="AF537" s="41">
        <f>COUNTIF(AE:AE,Table1[[#This Row],[County]])</f>
        <v>192</v>
      </c>
      <c r="AG537" s="12">
        <v>2025</v>
      </c>
    </row>
    <row r="538" spans="1:33" ht="15.5" x14ac:dyDescent="0.35">
      <c r="A538" s="12">
        <v>571</v>
      </c>
      <c r="B538" s="12" t="s">
        <v>151</v>
      </c>
      <c r="C538" s="12"/>
      <c r="D538" s="12"/>
      <c r="E538" s="12"/>
      <c r="F538" s="12"/>
      <c r="G538" s="12"/>
      <c r="H538" s="12" t="s">
        <v>406</v>
      </c>
      <c r="I538" s="12"/>
      <c r="J538" s="12"/>
      <c r="K538" s="12" t="s">
        <v>274</v>
      </c>
      <c r="L538" s="12" t="s">
        <v>277</v>
      </c>
      <c r="M538" s="12" t="s">
        <v>269</v>
      </c>
      <c r="N538" s="12" t="s">
        <v>288</v>
      </c>
      <c r="O538" s="12" t="s">
        <v>38</v>
      </c>
      <c r="P538" s="12">
        <v>698</v>
      </c>
      <c r="Q538" s="12" t="s">
        <v>295</v>
      </c>
      <c r="R538" s="12" t="s">
        <v>79</v>
      </c>
      <c r="S538" s="12" t="s">
        <v>272</v>
      </c>
      <c r="T538" s="12" t="s">
        <v>83</v>
      </c>
      <c r="U538" s="12" t="s">
        <v>159</v>
      </c>
      <c r="V538" s="12" t="s">
        <v>163</v>
      </c>
      <c r="W538" s="12" t="s">
        <v>318</v>
      </c>
      <c r="X538" s="12"/>
      <c r="Y538" s="12" t="s">
        <v>409</v>
      </c>
      <c r="Z538" s="12"/>
      <c r="AA538" s="12" t="s">
        <v>300</v>
      </c>
      <c r="AB538" s="12" t="s">
        <v>165</v>
      </c>
      <c r="AC538" s="12" t="str">
        <f>Table1[[#This Row],[City or Community (Santa Clara County)]]</f>
        <v>Sunnyvale</v>
      </c>
      <c r="AD538" s="12">
        <f>COUNTIF(H:H,Table1[[#This Row],[City or Community (Santa Clara County)]])</f>
        <v>38</v>
      </c>
      <c r="AE538" s="12" t="str">
        <f>Table1[[#This Row],[Please select your county]]</f>
        <v>Santa Clara County</v>
      </c>
      <c r="AF538" s="41">
        <f>COUNTIF(AE:AE,Table1[[#This Row],[County]])</f>
        <v>192</v>
      </c>
      <c r="AG538" s="12">
        <v>2025</v>
      </c>
    </row>
    <row r="539" spans="1:33" ht="15.5" x14ac:dyDescent="0.35">
      <c r="A539" s="12">
        <v>545</v>
      </c>
      <c r="B539" s="12" t="s">
        <v>151</v>
      </c>
      <c r="C539" s="12"/>
      <c r="D539" s="12"/>
      <c r="E539" s="12"/>
      <c r="F539" s="12"/>
      <c r="G539" s="12"/>
      <c r="H539" s="12" t="s">
        <v>406</v>
      </c>
      <c r="I539" s="12"/>
      <c r="J539" s="12"/>
      <c r="K539" s="12" t="s">
        <v>402</v>
      </c>
      <c r="L539" s="12" t="s">
        <v>279</v>
      </c>
      <c r="M539" s="12" t="s">
        <v>269</v>
      </c>
      <c r="N539" s="12" t="s">
        <v>280</v>
      </c>
      <c r="O539" s="12" t="s">
        <v>38</v>
      </c>
      <c r="P539" s="12">
        <v>700</v>
      </c>
      <c r="Q539" s="12" t="s">
        <v>295</v>
      </c>
      <c r="R539" s="12" t="s">
        <v>73</v>
      </c>
      <c r="S539" s="12" t="s">
        <v>298</v>
      </c>
      <c r="T539" s="12" t="s">
        <v>159</v>
      </c>
      <c r="U539" s="12" t="s">
        <v>160</v>
      </c>
      <c r="V539" s="12"/>
      <c r="W539" s="12"/>
      <c r="X539" s="12"/>
      <c r="Y539" s="12"/>
      <c r="Z539" s="12"/>
      <c r="AA539" s="12"/>
      <c r="AB539" s="12"/>
      <c r="AC539" s="12" t="str">
        <f>Table1[[#This Row],[City or Community (Santa Clara County)]]</f>
        <v>Sunnyvale</v>
      </c>
      <c r="AD539" s="12">
        <f>COUNTIF(H:H,Table1[[#This Row],[City or Community (Santa Clara County)]])</f>
        <v>38</v>
      </c>
      <c r="AE539" s="12" t="str">
        <f>Table1[[#This Row],[Please select your county]]</f>
        <v>Santa Clara County</v>
      </c>
      <c r="AF539" s="41">
        <f>COUNTIF(AE:AE,Table1[[#This Row],[County]])</f>
        <v>192</v>
      </c>
      <c r="AG539" s="12">
        <v>2025</v>
      </c>
    </row>
    <row r="540" spans="1:33" ht="31" x14ac:dyDescent="0.35">
      <c r="A540" s="12">
        <v>437</v>
      </c>
      <c r="B540" s="12" t="s">
        <v>151</v>
      </c>
      <c r="C540" s="12"/>
      <c r="D540" s="12"/>
      <c r="E540" s="12"/>
      <c r="F540" s="12"/>
      <c r="G540" s="12"/>
      <c r="H540" s="12" t="s">
        <v>406</v>
      </c>
      <c r="I540" s="12"/>
      <c r="J540" s="12"/>
      <c r="K540" s="10" t="s">
        <v>273</v>
      </c>
      <c r="L540" s="10" t="s">
        <v>279</v>
      </c>
      <c r="M540" s="10" t="s">
        <v>301</v>
      </c>
      <c r="N540" s="10" t="s">
        <v>278</v>
      </c>
      <c r="O540" s="12" t="s">
        <v>39</v>
      </c>
      <c r="P540" s="12">
        <v>740</v>
      </c>
      <c r="Q540" s="12" t="s">
        <v>295</v>
      </c>
      <c r="R540" s="12" t="s">
        <v>76</v>
      </c>
      <c r="S540" s="12" t="s">
        <v>272</v>
      </c>
      <c r="T540" s="12" t="s">
        <v>83</v>
      </c>
      <c r="U540" s="12" t="s">
        <v>160</v>
      </c>
      <c r="V540" s="12"/>
      <c r="W540" s="12"/>
      <c r="X540" s="12"/>
      <c r="Y540" s="12"/>
      <c r="Z540" s="12"/>
      <c r="AA540" s="12"/>
      <c r="AB540" s="12"/>
      <c r="AC540" s="12" t="str">
        <f>Table1[[#This Row],[City or Community (Santa Clara County)]]</f>
        <v>Sunnyvale</v>
      </c>
      <c r="AD540" s="12">
        <f>COUNTIF(H:H,Table1[[#This Row],[City or Community (Santa Clara County)]])</f>
        <v>38</v>
      </c>
      <c r="AE540" s="12" t="str">
        <f>Table1[[#This Row],[Please select your county]]</f>
        <v>Santa Clara County</v>
      </c>
      <c r="AF540" s="41">
        <f>COUNTIF(AE:AE,Table1[[#This Row],[County]])</f>
        <v>192</v>
      </c>
      <c r="AG540" s="12">
        <v>2025</v>
      </c>
    </row>
    <row r="541" spans="1:33" ht="15.5" x14ac:dyDescent="0.35">
      <c r="A541" s="12">
        <v>555</v>
      </c>
      <c r="B541" s="12" t="s">
        <v>151</v>
      </c>
      <c r="C541" s="12"/>
      <c r="D541" s="12"/>
      <c r="E541" s="12"/>
      <c r="F541" s="12"/>
      <c r="G541" s="12"/>
      <c r="H541" s="12" t="s">
        <v>406</v>
      </c>
      <c r="I541" s="12"/>
      <c r="J541" s="12"/>
      <c r="K541" s="10" t="s">
        <v>267</v>
      </c>
      <c r="L541" s="10" t="s">
        <v>277</v>
      </c>
      <c r="M541" s="10" t="s">
        <v>269</v>
      </c>
      <c r="N541" s="10" t="s">
        <v>270</v>
      </c>
      <c r="O541" s="12" t="s">
        <v>38</v>
      </c>
      <c r="P541" s="12">
        <v>749</v>
      </c>
      <c r="Q541" s="12" t="s">
        <v>295</v>
      </c>
      <c r="R541" s="12" t="s">
        <v>71</v>
      </c>
      <c r="S541" s="12" t="s">
        <v>282</v>
      </c>
      <c r="T541" s="12" t="s">
        <v>159</v>
      </c>
      <c r="U541" s="12" t="s">
        <v>160</v>
      </c>
      <c r="V541" s="12"/>
      <c r="W541" s="12"/>
      <c r="X541" s="12"/>
      <c r="Y541" s="12"/>
      <c r="Z541" s="12"/>
      <c r="AA541" s="12"/>
      <c r="AB541" s="12"/>
      <c r="AC541" s="12" t="str">
        <f>Table1[[#This Row],[City or Community (Santa Clara County)]]</f>
        <v>Sunnyvale</v>
      </c>
      <c r="AD541" s="12">
        <f>COUNTIF(H:H,Table1[[#This Row],[City or Community (Santa Clara County)]])</f>
        <v>38</v>
      </c>
      <c r="AE541" s="12" t="str">
        <f>Table1[[#This Row],[Please select your county]]</f>
        <v>Santa Clara County</v>
      </c>
      <c r="AF541" s="41">
        <f>COUNTIF(AE:AE,Table1[[#This Row],[County]])</f>
        <v>192</v>
      </c>
      <c r="AG541" s="12">
        <v>2025</v>
      </c>
    </row>
    <row r="542" spans="1:33" ht="31" x14ac:dyDescent="0.35">
      <c r="A542" s="12">
        <v>482</v>
      </c>
      <c r="B542" s="12" t="s">
        <v>151</v>
      </c>
      <c r="C542" s="12"/>
      <c r="D542" s="12"/>
      <c r="E542" s="12"/>
      <c r="F542" s="12"/>
      <c r="G542" s="12"/>
      <c r="H542" s="12" t="s">
        <v>406</v>
      </c>
      <c r="I542" s="12"/>
      <c r="J542" s="12"/>
      <c r="K542" s="10" t="s">
        <v>273</v>
      </c>
      <c r="L542" s="10" t="s">
        <v>279</v>
      </c>
      <c r="M542" s="10" t="s">
        <v>269</v>
      </c>
      <c r="N542" s="10" t="s">
        <v>280</v>
      </c>
      <c r="O542" s="12" t="s">
        <v>39</v>
      </c>
      <c r="P542" s="12">
        <v>749</v>
      </c>
      <c r="Q542" s="12" t="s">
        <v>295</v>
      </c>
      <c r="R542" s="12" t="s">
        <v>76</v>
      </c>
      <c r="S542" s="12" t="s">
        <v>272</v>
      </c>
      <c r="T542" s="12" t="s">
        <v>83</v>
      </c>
      <c r="U542" s="12" t="s">
        <v>160</v>
      </c>
      <c r="V542" s="12"/>
      <c r="W542" s="12"/>
      <c r="X542" s="12"/>
      <c r="Y542" s="12"/>
      <c r="Z542" s="12"/>
      <c r="AA542" s="12"/>
      <c r="AB542" s="12"/>
      <c r="AC542" s="12" t="str">
        <f>Table1[[#This Row],[City or Community (Santa Clara County)]]</f>
        <v>Sunnyvale</v>
      </c>
      <c r="AD542" s="12">
        <f>COUNTIF(H:H,Table1[[#This Row],[City or Community (Santa Clara County)]])</f>
        <v>38</v>
      </c>
      <c r="AE542" s="12" t="str">
        <f>Table1[[#This Row],[Please select your county]]</f>
        <v>Santa Clara County</v>
      </c>
      <c r="AF542" s="41">
        <f>COUNTIF(AE:AE,Table1[[#This Row],[County]])</f>
        <v>192</v>
      </c>
      <c r="AG542" s="12">
        <v>2025</v>
      </c>
    </row>
    <row r="543" spans="1:33" ht="15.5" x14ac:dyDescent="0.35">
      <c r="A543" s="12">
        <v>348</v>
      </c>
      <c r="B543" s="12" t="s">
        <v>151</v>
      </c>
      <c r="C543" s="12"/>
      <c r="D543" s="12"/>
      <c r="E543" s="12"/>
      <c r="F543" s="12"/>
      <c r="G543" s="12"/>
      <c r="H543" s="12" t="s">
        <v>406</v>
      </c>
      <c r="I543" s="12"/>
      <c r="J543" s="12"/>
      <c r="K543" s="10" t="s">
        <v>294</v>
      </c>
      <c r="L543" s="10" t="s">
        <v>277</v>
      </c>
      <c r="M543" s="10" t="s">
        <v>269</v>
      </c>
      <c r="N543" s="10" t="s">
        <v>288</v>
      </c>
      <c r="O543" s="12" t="s">
        <v>38</v>
      </c>
      <c r="P543" s="12">
        <v>752</v>
      </c>
      <c r="Q543" s="12" t="s">
        <v>281</v>
      </c>
      <c r="R543" s="12" t="s">
        <v>70</v>
      </c>
      <c r="S543" s="12" t="s">
        <v>276</v>
      </c>
      <c r="T543" s="12" t="s">
        <v>160</v>
      </c>
      <c r="U543" s="12" t="s">
        <v>160</v>
      </c>
      <c r="V543" s="12"/>
      <c r="W543" s="12"/>
      <c r="X543" s="12"/>
      <c r="Y543" s="12"/>
      <c r="Z543" s="12"/>
      <c r="AA543" s="12"/>
      <c r="AB543" s="12"/>
      <c r="AC543" s="12" t="str">
        <f>Table1[[#This Row],[City or Community (Santa Clara County)]]</f>
        <v>Sunnyvale</v>
      </c>
      <c r="AD543" s="12">
        <f>COUNTIF(H:H,Table1[[#This Row],[City or Community (Santa Clara County)]])</f>
        <v>38</v>
      </c>
      <c r="AE543" s="12" t="str">
        <f>Table1[[#This Row],[Please select your county]]</f>
        <v>Santa Clara County</v>
      </c>
      <c r="AF543" s="41">
        <f>COUNTIF(AE:AE,Table1[[#This Row],[County]])</f>
        <v>192</v>
      </c>
      <c r="AG543" s="12">
        <v>2025</v>
      </c>
    </row>
    <row r="544" spans="1:33" ht="15.5" x14ac:dyDescent="0.35">
      <c r="A544" s="12">
        <v>223</v>
      </c>
      <c r="B544" s="12" t="s">
        <v>151</v>
      </c>
      <c r="C544" s="12"/>
      <c r="D544" s="12"/>
      <c r="E544" s="12"/>
      <c r="F544" s="12"/>
      <c r="G544" s="12"/>
      <c r="H544" s="12" t="s">
        <v>406</v>
      </c>
      <c r="I544" s="12"/>
      <c r="J544" s="12"/>
      <c r="K544" s="10" t="s">
        <v>410</v>
      </c>
      <c r="L544" s="10"/>
      <c r="M544" s="10"/>
      <c r="N544" s="10"/>
      <c r="O544" s="12" t="s">
        <v>38</v>
      </c>
      <c r="P544" s="12">
        <v>779</v>
      </c>
      <c r="Q544" s="12" t="s">
        <v>295</v>
      </c>
      <c r="R544" s="12" t="s">
        <v>73</v>
      </c>
      <c r="S544" s="12" t="s">
        <v>298</v>
      </c>
      <c r="T544" s="12" t="s">
        <v>83</v>
      </c>
      <c r="U544" s="12" t="s">
        <v>160</v>
      </c>
      <c r="V544" s="12"/>
      <c r="W544" s="12"/>
      <c r="X544" s="12"/>
      <c r="Y544" s="12"/>
      <c r="Z544" s="12"/>
      <c r="AA544" s="12"/>
      <c r="AB544" s="12"/>
      <c r="AC544" s="12" t="str">
        <f>Table1[[#This Row],[City or Community (Santa Clara County)]]</f>
        <v>Sunnyvale</v>
      </c>
      <c r="AD544" s="12">
        <f>COUNTIF(H:H,Table1[[#This Row],[City or Community (Santa Clara County)]])</f>
        <v>38</v>
      </c>
      <c r="AE544" s="12" t="str">
        <f>Table1[[#This Row],[Please select your county]]</f>
        <v>Santa Clara County</v>
      </c>
      <c r="AF544" s="41">
        <f>COUNTIF(AE:AE,Table1[[#This Row],[County]])</f>
        <v>192</v>
      </c>
      <c r="AG544" s="12">
        <v>2025</v>
      </c>
    </row>
    <row r="545" spans="1:33" ht="31" x14ac:dyDescent="0.35">
      <c r="A545" s="12">
        <v>355</v>
      </c>
      <c r="B545" s="12" t="s">
        <v>151</v>
      </c>
      <c r="C545" s="12"/>
      <c r="D545" s="12"/>
      <c r="E545" s="12"/>
      <c r="F545" s="12"/>
      <c r="G545" s="12"/>
      <c r="H545" s="12" t="s">
        <v>406</v>
      </c>
      <c r="I545" s="12"/>
      <c r="J545" s="12"/>
      <c r="K545" s="10" t="s">
        <v>410</v>
      </c>
      <c r="L545" s="10" t="s">
        <v>279</v>
      </c>
      <c r="M545" s="10" t="s">
        <v>269</v>
      </c>
      <c r="N545" s="10" t="s">
        <v>280</v>
      </c>
      <c r="O545" s="12" t="s">
        <v>38</v>
      </c>
      <c r="P545" s="12">
        <v>788</v>
      </c>
      <c r="Q545" s="12" t="s">
        <v>295</v>
      </c>
      <c r="R545" s="12" t="s">
        <v>74</v>
      </c>
      <c r="S545" s="12" t="s">
        <v>276</v>
      </c>
      <c r="T545" s="12" t="s">
        <v>159</v>
      </c>
      <c r="U545" s="12" t="s">
        <v>160</v>
      </c>
      <c r="V545" s="12"/>
      <c r="W545" s="12"/>
      <c r="X545" s="12"/>
      <c r="Y545" s="12"/>
      <c r="Z545" s="12"/>
      <c r="AA545" s="12"/>
      <c r="AB545" s="12"/>
      <c r="AC545" s="12" t="str">
        <f>Table1[[#This Row],[City or Community (Santa Clara County)]]</f>
        <v>Sunnyvale</v>
      </c>
      <c r="AD545" s="12">
        <f>COUNTIF(H:H,Table1[[#This Row],[City or Community (Santa Clara County)]])</f>
        <v>38</v>
      </c>
      <c r="AE545" s="12" t="str">
        <f>Table1[[#This Row],[Please select your county]]</f>
        <v>Santa Clara County</v>
      </c>
      <c r="AF545" s="41">
        <f>COUNTIF(AE:AE,Table1[[#This Row],[County]])</f>
        <v>192</v>
      </c>
      <c r="AG545" s="12">
        <v>2025</v>
      </c>
    </row>
    <row r="546" spans="1:33" ht="31" x14ac:dyDescent="0.35">
      <c r="A546" s="12">
        <v>349</v>
      </c>
      <c r="B546" s="12" t="s">
        <v>151</v>
      </c>
      <c r="C546" s="12"/>
      <c r="D546" s="12"/>
      <c r="E546" s="12"/>
      <c r="F546" s="12"/>
      <c r="G546" s="12"/>
      <c r="H546" s="12" t="s">
        <v>406</v>
      </c>
      <c r="I546" s="12"/>
      <c r="J546" s="12"/>
      <c r="K546" s="10" t="s">
        <v>267</v>
      </c>
      <c r="L546" s="10" t="s">
        <v>277</v>
      </c>
      <c r="M546" s="10" t="s">
        <v>269</v>
      </c>
      <c r="N546" s="10" t="s">
        <v>278</v>
      </c>
      <c r="O546" s="12" t="s">
        <v>38</v>
      </c>
      <c r="P546" s="12">
        <v>788</v>
      </c>
      <c r="Q546" s="12" t="s">
        <v>295</v>
      </c>
      <c r="R546" s="12" t="s">
        <v>70</v>
      </c>
      <c r="S546" s="12" t="s">
        <v>297</v>
      </c>
      <c r="T546" s="12" t="s">
        <v>159</v>
      </c>
      <c r="U546" s="12" t="s">
        <v>160</v>
      </c>
      <c r="V546" s="12"/>
      <c r="W546" s="12"/>
      <c r="X546" s="12"/>
      <c r="Y546" s="12"/>
      <c r="Z546" s="12"/>
      <c r="AA546" s="12"/>
      <c r="AB546" s="12"/>
      <c r="AC546" s="12" t="str">
        <f>Table1[[#This Row],[City or Community (Santa Clara County)]]</f>
        <v>Sunnyvale</v>
      </c>
      <c r="AD546" s="12">
        <f>COUNTIF(H:H,Table1[[#This Row],[City or Community (Santa Clara County)]])</f>
        <v>38</v>
      </c>
      <c r="AE546" s="12" t="str">
        <f>Table1[[#This Row],[Please select your county]]</f>
        <v>Santa Clara County</v>
      </c>
      <c r="AF546" s="41">
        <f>COUNTIF(AE:AE,Table1[[#This Row],[County]])</f>
        <v>192</v>
      </c>
      <c r="AG546" s="12">
        <v>2025</v>
      </c>
    </row>
    <row r="547" spans="1:33" ht="15.5" x14ac:dyDescent="0.35">
      <c r="A547" s="12">
        <v>485</v>
      </c>
      <c r="B547" s="12" t="s">
        <v>151</v>
      </c>
      <c r="C547" s="12"/>
      <c r="D547" s="12"/>
      <c r="E547" s="12"/>
      <c r="F547" s="12"/>
      <c r="G547" s="12"/>
      <c r="H547" s="12" t="s">
        <v>406</v>
      </c>
      <c r="I547" s="12"/>
      <c r="J547" s="12"/>
      <c r="K547" s="12" t="s">
        <v>267</v>
      </c>
      <c r="L547" s="12" t="s">
        <v>279</v>
      </c>
      <c r="M547" s="12" t="s">
        <v>269</v>
      </c>
      <c r="N547" s="12" t="s">
        <v>278</v>
      </c>
      <c r="O547" s="12" t="s">
        <v>38</v>
      </c>
      <c r="P547" s="12">
        <v>800</v>
      </c>
      <c r="Q547" s="12" t="s">
        <v>295</v>
      </c>
      <c r="R547" s="12" t="s">
        <v>73</v>
      </c>
      <c r="S547" s="12" t="s">
        <v>284</v>
      </c>
      <c r="T547" s="12" t="s">
        <v>159</v>
      </c>
      <c r="U547" s="12" t="s">
        <v>160</v>
      </c>
      <c r="V547" s="12"/>
      <c r="W547" s="12"/>
      <c r="X547" s="12"/>
      <c r="Y547" s="12"/>
      <c r="Z547" s="12"/>
      <c r="AA547" s="12"/>
      <c r="AB547" s="12"/>
      <c r="AC547" s="12" t="str">
        <f>Table1[[#This Row],[City or Community (Santa Clara County)]]</f>
        <v>Sunnyvale</v>
      </c>
      <c r="AD547" s="12">
        <f>COUNTIF(H:H,Table1[[#This Row],[City or Community (Santa Clara County)]])</f>
        <v>38</v>
      </c>
      <c r="AE547" s="12" t="str">
        <f>Table1[[#This Row],[Please select your county]]</f>
        <v>Santa Clara County</v>
      </c>
      <c r="AF547" s="41">
        <f>COUNTIF(AE:AE,Table1[[#This Row],[County]])</f>
        <v>192</v>
      </c>
      <c r="AG547" s="12">
        <v>2025</v>
      </c>
    </row>
    <row r="548" spans="1:33" ht="15.5" x14ac:dyDescent="0.35">
      <c r="A548" s="12">
        <v>409</v>
      </c>
      <c r="B548" s="12" t="s">
        <v>151</v>
      </c>
      <c r="C548" s="12"/>
      <c r="D548" s="12"/>
      <c r="E548" s="12"/>
      <c r="F548" s="12"/>
      <c r="G548" s="12"/>
      <c r="H548" s="12" t="s">
        <v>406</v>
      </c>
      <c r="I548" s="12"/>
      <c r="J548" s="12"/>
      <c r="K548" s="10" t="s">
        <v>273</v>
      </c>
      <c r="L548" s="10" t="s">
        <v>279</v>
      </c>
      <c r="M548" s="10" t="s">
        <v>269</v>
      </c>
      <c r="N548" s="10" t="s">
        <v>288</v>
      </c>
      <c r="O548" s="12" t="s">
        <v>39</v>
      </c>
      <c r="P548" s="12">
        <v>800</v>
      </c>
      <c r="Q548" s="12" t="s">
        <v>281</v>
      </c>
      <c r="R548" s="12" t="s">
        <v>76</v>
      </c>
      <c r="S548" s="12" t="s">
        <v>276</v>
      </c>
      <c r="T548" s="12" t="s">
        <v>83</v>
      </c>
      <c r="U548" s="12" t="s">
        <v>160</v>
      </c>
      <c r="V548" s="12"/>
      <c r="W548" s="12"/>
      <c r="X548" s="12"/>
      <c r="Y548" s="12"/>
      <c r="Z548" s="12"/>
      <c r="AA548" s="12"/>
      <c r="AB548" s="12"/>
      <c r="AC548" s="12" t="str">
        <f>Table1[[#This Row],[City or Community (Santa Clara County)]]</f>
        <v>Sunnyvale</v>
      </c>
      <c r="AD548" s="12">
        <f>COUNTIF(H:H,Table1[[#This Row],[City or Community (Santa Clara County)]])</f>
        <v>38</v>
      </c>
      <c r="AE548" s="12" t="str">
        <f>Table1[[#This Row],[Please select your county]]</f>
        <v>Santa Clara County</v>
      </c>
      <c r="AF548" s="41">
        <f>COUNTIF(AE:AE,Table1[[#This Row],[County]])</f>
        <v>192</v>
      </c>
      <c r="AG548" s="12">
        <v>2025</v>
      </c>
    </row>
    <row r="549" spans="1:33" ht="15.5" x14ac:dyDescent="0.35">
      <c r="A549" s="12">
        <v>421</v>
      </c>
      <c r="B549" s="12" t="s">
        <v>151</v>
      </c>
      <c r="C549" s="12"/>
      <c r="D549" s="12"/>
      <c r="E549" s="12"/>
      <c r="F549" s="12"/>
      <c r="G549" s="12"/>
      <c r="H549" s="12" t="s">
        <v>406</v>
      </c>
      <c r="I549" s="12"/>
      <c r="J549" s="12"/>
      <c r="K549" s="12" t="s">
        <v>293</v>
      </c>
      <c r="L549" s="12" t="s">
        <v>312</v>
      </c>
      <c r="M549" s="12" t="s">
        <v>269</v>
      </c>
      <c r="N549" s="12" t="s">
        <v>280</v>
      </c>
      <c r="O549" s="12" t="s">
        <v>38</v>
      </c>
      <c r="P549" s="12">
        <v>1100</v>
      </c>
      <c r="Q549" s="12" t="s">
        <v>295</v>
      </c>
      <c r="R549" s="12" t="s">
        <v>165</v>
      </c>
      <c r="S549" s="12" t="s">
        <v>276</v>
      </c>
      <c r="T549" s="12" t="s">
        <v>159</v>
      </c>
      <c r="U549" s="12" t="s">
        <v>160</v>
      </c>
      <c r="V549" s="12"/>
      <c r="W549" s="12"/>
      <c r="X549" s="12"/>
      <c r="Y549" s="12"/>
      <c r="Z549" s="12"/>
      <c r="AA549" s="12"/>
      <c r="AB549" s="12"/>
      <c r="AC549" s="12" t="str">
        <f>Table1[[#This Row],[City or Community (Santa Clara County)]]</f>
        <v>Sunnyvale</v>
      </c>
      <c r="AD549" s="12">
        <f>COUNTIF(H:H,Table1[[#This Row],[City or Community (Santa Clara County)]])</f>
        <v>38</v>
      </c>
      <c r="AE549" s="12" t="str">
        <f>Table1[[#This Row],[Please select your county]]</f>
        <v>Santa Clara County</v>
      </c>
      <c r="AF549" s="41">
        <f>COUNTIF(AE:AE,Table1[[#This Row],[County]])</f>
        <v>192</v>
      </c>
      <c r="AG549" s="12">
        <v>2025</v>
      </c>
    </row>
    <row r="550" spans="1:33" ht="15.5" x14ac:dyDescent="0.35">
      <c r="A550" s="12">
        <v>528</v>
      </c>
      <c r="B550" s="12" t="s">
        <v>151</v>
      </c>
      <c r="C550" s="12"/>
      <c r="D550" s="12"/>
      <c r="E550" s="12"/>
      <c r="F550" s="12"/>
      <c r="G550" s="12"/>
      <c r="H550" s="12" t="s">
        <v>406</v>
      </c>
      <c r="I550" s="12"/>
      <c r="J550" s="12"/>
      <c r="K550" s="10" t="s">
        <v>274</v>
      </c>
      <c r="L550" s="10" t="s">
        <v>279</v>
      </c>
      <c r="M550" s="10" t="s">
        <v>269</v>
      </c>
      <c r="N550" s="10" t="s">
        <v>288</v>
      </c>
      <c r="O550" s="12" t="s">
        <v>38</v>
      </c>
      <c r="P550" s="12">
        <v>1200</v>
      </c>
      <c r="Q550" s="12" t="s">
        <v>295</v>
      </c>
      <c r="R550" s="12" t="s">
        <v>165</v>
      </c>
      <c r="S550" s="12" t="s">
        <v>276</v>
      </c>
      <c r="T550" s="12" t="s">
        <v>83</v>
      </c>
      <c r="U550" s="12" t="s">
        <v>160</v>
      </c>
      <c r="V550" s="12"/>
      <c r="W550" s="12"/>
      <c r="X550" s="12"/>
      <c r="Y550" s="12"/>
      <c r="Z550" s="12"/>
      <c r="AA550" s="12"/>
      <c r="AB550" s="12"/>
      <c r="AC550" s="12" t="str">
        <f>Table1[[#This Row],[City or Community (Santa Clara County)]]</f>
        <v>Sunnyvale</v>
      </c>
      <c r="AD550" s="12">
        <f>COUNTIF(H:H,Table1[[#This Row],[City or Community (Santa Clara County)]])</f>
        <v>38</v>
      </c>
      <c r="AE550" s="12" t="str">
        <f>Table1[[#This Row],[Please select your county]]</f>
        <v>Santa Clara County</v>
      </c>
      <c r="AF550" s="41">
        <f>COUNTIF(AE:AE,Table1[[#This Row],[County]])</f>
        <v>192</v>
      </c>
      <c r="AG550" s="12">
        <v>2025</v>
      </c>
    </row>
    <row r="551" spans="1:33" ht="31" x14ac:dyDescent="0.35">
      <c r="A551" s="12">
        <v>403</v>
      </c>
      <c r="B551" s="12" t="s">
        <v>151</v>
      </c>
      <c r="C551" s="12"/>
      <c r="D551" s="12"/>
      <c r="E551" s="12"/>
      <c r="F551" s="12"/>
      <c r="G551" s="12"/>
      <c r="H551" s="12" t="s">
        <v>411</v>
      </c>
      <c r="I551" s="12"/>
      <c r="J551" s="12"/>
      <c r="K551" s="10" t="s">
        <v>274</v>
      </c>
      <c r="L551" s="10" t="s">
        <v>312</v>
      </c>
      <c r="M551" s="10" t="s">
        <v>269</v>
      </c>
      <c r="N551" s="10" t="s">
        <v>280</v>
      </c>
      <c r="O551" s="12" t="s">
        <v>38</v>
      </c>
      <c r="P551" s="12">
        <v>450</v>
      </c>
      <c r="Q551" s="12" t="s">
        <v>281</v>
      </c>
      <c r="R551" s="12" t="s">
        <v>79</v>
      </c>
      <c r="S551" s="12" t="s">
        <v>276</v>
      </c>
      <c r="T551" s="12" t="s">
        <v>159</v>
      </c>
      <c r="U551" s="12" t="s">
        <v>160</v>
      </c>
      <c r="V551" s="12"/>
      <c r="W551" s="12"/>
      <c r="X551" s="12"/>
      <c r="Y551" s="12"/>
      <c r="Z551" s="12"/>
      <c r="AA551" s="12"/>
      <c r="AB551" s="12"/>
      <c r="AC551" s="12" t="str">
        <f>Table1[[#This Row],[City or Community (Santa Clara County)]]</f>
        <v>Gilroy</v>
      </c>
      <c r="AD551" s="12">
        <f>COUNTIF(H:H,Table1[[#This Row],[City or Community (Santa Clara County)]])</f>
        <v>8</v>
      </c>
      <c r="AE551" s="12" t="str">
        <f>Table1[[#This Row],[Please select your county]]</f>
        <v>Santa Clara County</v>
      </c>
      <c r="AF551" s="41">
        <f>COUNTIF(AE:AE,Table1[[#This Row],[County]])</f>
        <v>192</v>
      </c>
      <c r="AG551" s="12">
        <v>2025</v>
      </c>
    </row>
    <row r="552" spans="1:33" ht="15.5" x14ac:dyDescent="0.35">
      <c r="A552" s="12">
        <v>258</v>
      </c>
      <c r="B552" s="12" t="s">
        <v>151</v>
      </c>
      <c r="C552" s="12"/>
      <c r="D552" s="12"/>
      <c r="E552" s="12"/>
      <c r="F552" s="12"/>
      <c r="G552" s="12"/>
      <c r="H552" s="12" t="s">
        <v>411</v>
      </c>
      <c r="I552" s="12"/>
      <c r="J552" s="12"/>
      <c r="K552" s="10" t="s">
        <v>274</v>
      </c>
      <c r="L552" s="10"/>
      <c r="M552" s="10"/>
      <c r="N552" s="10"/>
      <c r="O552" s="12" t="s">
        <v>38</v>
      </c>
      <c r="P552" s="12">
        <v>480</v>
      </c>
      <c r="Q552" s="12" t="s">
        <v>281</v>
      </c>
      <c r="R552" s="12" t="s">
        <v>79</v>
      </c>
      <c r="S552" s="12" t="s">
        <v>272</v>
      </c>
      <c r="T552" s="12" t="s">
        <v>159</v>
      </c>
      <c r="U552" s="12" t="s">
        <v>159</v>
      </c>
      <c r="V552" s="12" t="s">
        <v>163</v>
      </c>
      <c r="W552" s="12" t="s">
        <v>289</v>
      </c>
      <c r="X552" s="12"/>
      <c r="Y552" s="12" t="s">
        <v>290</v>
      </c>
      <c r="Z552" s="12"/>
      <c r="AA552" s="12" t="s">
        <v>286</v>
      </c>
      <c r="AB552" s="12" t="s">
        <v>188</v>
      </c>
      <c r="AC552" s="12" t="str">
        <f>Table1[[#This Row],[City or Community (Santa Clara County)]]</f>
        <v>Gilroy</v>
      </c>
      <c r="AD552" s="12">
        <f>COUNTIF(H:H,Table1[[#This Row],[City or Community (Santa Clara County)]])</f>
        <v>8</v>
      </c>
      <c r="AE552" s="12" t="str">
        <f>Table1[[#This Row],[Please select your county]]</f>
        <v>Santa Clara County</v>
      </c>
      <c r="AF552" s="41">
        <f>COUNTIF(AE:AE,Table1[[#This Row],[County]])</f>
        <v>192</v>
      </c>
      <c r="AG552" s="12">
        <v>2025</v>
      </c>
    </row>
    <row r="553" spans="1:33" ht="15.5" x14ac:dyDescent="0.35">
      <c r="A553" s="12">
        <v>339</v>
      </c>
      <c r="B553" s="12" t="s">
        <v>151</v>
      </c>
      <c r="C553" s="12"/>
      <c r="D553" s="12"/>
      <c r="E553" s="12"/>
      <c r="F553" s="12"/>
      <c r="G553" s="12"/>
      <c r="H553" s="12" t="s">
        <v>411</v>
      </c>
      <c r="I553" s="12"/>
      <c r="J553" s="12"/>
      <c r="K553" s="10" t="s">
        <v>267</v>
      </c>
      <c r="L553" s="10"/>
      <c r="M553" s="10"/>
      <c r="N553" s="10"/>
      <c r="O553" s="12" t="s">
        <v>38</v>
      </c>
      <c r="P553" s="12">
        <v>494</v>
      </c>
      <c r="Q553" s="12" t="s">
        <v>295</v>
      </c>
      <c r="R553" s="12" t="s">
        <v>165</v>
      </c>
      <c r="S553" s="12" t="s">
        <v>282</v>
      </c>
      <c r="T553" s="12" t="s">
        <v>159</v>
      </c>
      <c r="U553" s="12" t="s">
        <v>160</v>
      </c>
      <c r="V553" s="12"/>
      <c r="W553" s="12"/>
      <c r="X553" s="12"/>
      <c r="Y553" s="12"/>
      <c r="Z553" s="12"/>
      <c r="AA553" s="12"/>
      <c r="AB553" s="12"/>
      <c r="AC553" s="12" t="str">
        <f>Table1[[#This Row],[City or Community (Santa Clara County)]]</f>
        <v>Gilroy</v>
      </c>
      <c r="AD553" s="12">
        <f>COUNTIF(H:H,Table1[[#This Row],[City or Community (Santa Clara County)]])</f>
        <v>8</v>
      </c>
      <c r="AE553" s="12" t="str">
        <f>Table1[[#This Row],[Please select your county]]</f>
        <v>Santa Clara County</v>
      </c>
      <c r="AF553" s="41">
        <f>COUNTIF(AE:AE,Table1[[#This Row],[County]])</f>
        <v>192</v>
      </c>
      <c r="AG553" s="12">
        <v>2025</v>
      </c>
    </row>
    <row r="554" spans="1:33" ht="15.5" x14ac:dyDescent="0.35">
      <c r="A554" s="12">
        <v>441</v>
      </c>
      <c r="B554" s="12" t="s">
        <v>151</v>
      </c>
      <c r="C554" s="12"/>
      <c r="D554" s="12"/>
      <c r="E554" s="12"/>
      <c r="F554" s="12"/>
      <c r="G554" s="12"/>
      <c r="H554" s="12" t="s">
        <v>411</v>
      </c>
      <c r="I554" s="12"/>
      <c r="J554" s="12"/>
      <c r="K554" s="10" t="s">
        <v>274</v>
      </c>
      <c r="L554" s="10" t="s">
        <v>312</v>
      </c>
      <c r="M554" s="10" t="s">
        <v>269</v>
      </c>
      <c r="N554" s="10" t="s">
        <v>270</v>
      </c>
      <c r="O554" s="12" t="s">
        <v>38</v>
      </c>
      <c r="P554" s="12">
        <v>504</v>
      </c>
      <c r="Q554" s="12" t="s">
        <v>281</v>
      </c>
      <c r="R554" s="12" t="s">
        <v>68</v>
      </c>
      <c r="S554" s="12" t="s">
        <v>272</v>
      </c>
      <c r="T554" s="12" t="s">
        <v>159</v>
      </c>
      <c r="U554" s="12" t="s">
        <v>159</v>
      </c>
      <c r="V554" s="12" t="s">
        <v>164</v>
      </c>
      <c r="W554" s="12" t="s">
        <v>318</v>
      </c>
      <c r="X554" s="12"/>
      <c r="Y554" s="12" t="s">
        <v>290</v>
      </c>
      <c r="Z554" s="12"/>
      <c r="AA554" s="12" t="s">
        <v>291</v>
      </c>
      <c r="AB554" s="12" t="s">
        <v>165</v>
      </c>
      <c r="AC554" s="12" t="str">
        <f>Table1[[#This Row],[City or Community (Santa Clara County)]]</f>
        <v>Gilroy</v>
      </c>
      <c r="AD554" s="12">
        <f>COUNTIF(H:H,Table1[[#This Row],[City or Community (Santa Clara County)]])</f>
        <v>8</v>
      </c>
      <c r="AE554" s="12" t="str">
        <f>Table1[[#This Row],[Please select your county]]</f>
        <v>Santa Clara County</v>
      </c>
      <c r="AF554" s="41">
        <f>COUNTIF(AE:AE,Table1[[#This Row],[County]])</f>
        <v>192</v>
      </c>
      <c r="AG554" s="12">
        <v>2025</v>
      </c>
    </row>
    <row r="555" spans="1:33" ht="15.5" x14ac:dyDescent="0.35">
      <c r="A555" s="12">
        <v>557</v>
      </c>
      <c r="B555" s="12" t="s">
        <v>151</v>
      </c>
      <c r="C555" s="12"/>
      <c r="D555" s="12"/>
      <c r="E555" s="12"/>
      <c r="F555" s="12"/>
      <c r="G555" s="12"/>
      <c r="H555" s="12" t="s">
        <v>411</v>
      </c>
      <c r="I555" s="12"/>
      <c r="J555" s="12"/>
      <c r="K555" s="12" t="s">
        <v>274</v>
      </c>
      <c r="L555" s="12" t="s">
        <v>279</v>
      </c>
      <c r="M555" s="12" t="s">
        <v>401</v>
      </c>
      <c r="N555" s="12" t="s">
        <v>270</v>
      </c>
      <c r="O555" s="12" t="s">
        <v>38</v>
      </c>
      <c r="P555" s="12">
        <v>600</v>
      </c>
      <c r="Q555" s="12" t="s">
        <v>295</v>
      </c>
      <c r="R555" s="12" t="s">
        <v>79</v>
      </c>
      <c r="S555" s="12" t="s">
        <v>284</v>
      </c>
      <c r="T555" s="12" t="s">
        <v>160</v>
      </c>
      <c r="U555" s="12" t="s">
        <v>159</v>
      </c>
      <c r="V555" s="12" t="s">
        <v>163</v>
      </c>
      <c r="W555" s="12" t="s">
        <v>318</v>
      </c>
      <c r="X555" s="12"/>
      <c r="Y555" s="12" t="s">
        <v>409</v>
      </c>
      <c r="Z555" s="12"/>
      <c r="AA555" s="12" t="s">
        <v>286</v>
      </c>
      <c r="AB555" s="12" t="s">
        <v>188</v>
      </c>
      <c r="AC555" s="12" t="str">
        <f>Table1[[#This Row],[City or Community (Santa Clara County)]]</f>
        <v>Gilroy</v>
      </c>
      <c r="AD555" s="12">
        <f>COUNTIF(H:H,Table1[[#This Row],[City or Community (Santa Clara County)]])</f>
        <v>8</v>
      </c>
      <c r="AE555" s="12" t="str">
        <f>Table1[[#This Row],[Please select your county]]</f>
        <v>Santa Clara County</v>
      </c>
      <c r="AF555" s="41">
        <f>COUNTIF(AE:AE,Table1[[#This Row],[County]])</f>
        <v>192</v>
      </c>
      <c r="AG555" s="12">
        <v>2025</v>
      </c>
    </row>
    <row r="556" spans="1:33" ht="15.5" x14ac:dyDescent="0.35">
      <c r="A556" s="12">
        <v>234</v>
      </c>
      <c r="B556" s="12" t="s">
        <v>151</v>
      </c>
      <c r="C556" s="12"/>
      <c r="D556" s="12"/>
      <c r="E556" s="12"/>
      <c r="F556" s="12"/>
      <c r="G556" s="12"/>
      <c r="H556" s="12" t="s">
        <v>411</v>
      </c>
      <c r="I556" s="12"/>
      <c r="J556" s="12"/>
      <c r="K556" s="10" t="s">
        <v>294</v>
      </c>
      <c r="L556" s="10"/>
      <c r="M556" s="10"/>
      <c r="N556" s="10"/>
      <c r="O556" s="12" t="s">
        <v>38</v>
      </c>
      <c r="P556" s="12">
        <v>600</v>
      </c>
      <c r="Q556" s="12" t="s">
        <v>271</v>
      </c>
      <c r="R556" s="12" t="s">
        <v>67</v>
      </c>
      <c r="S556" s="12" t="s">
        <v>272</v>
      </c>
      <c r="T556" s="12" t="s">
        <v>83</v>
      </c>
      <c r="U556" s="12" t="s">
        <v>160</v>
      </c>
      <c r="V556" s="12"/>
      <c r="W556" s="12"/>
      <c r="X556" s="12"/>
      <c r="Y556" s="12"/>
      <c r="Z556" s="12"/>
      <c r="AA556" s="12"/>
      <c r="AB556" s="12"/>
      <c r="AC556" s="12" t="str">
        <f>Table1[[#This Row],[City or Community (Santa Clara County)]]</f>
        <v>Gilroy</v>
      </c>
      <c r="AD556" s="12">
        <f>COUNTIF(H:H,Table1[[#This Row],[City or Community (Santa Clara County)]])</f>
        <v>8</v>
      </c>
      <c r="AE556" s="12" t="str">
        <f>Table1[[#This Row],[Please select your county]]</f>
        <v>Santa Clara County</v>
      </c>
      <c r="AF556" s="41">
        <f>COUNTIF(AE:AE,Table1[[#This Row],[County]])</f>
        <v>192</v>
      </c>
      <c r="AG556" s="12">
        <v>2025</v>
      </c>
    </row>
    <row r="557" spans="1:33" ht="15.5" x14ac:dyDescent="0.35">
      <c r="A557" s="12">
        <v>296</v>
      </c>
      <c r="B557" s="12" t="s">
        <v>151</v>
      </c>
      <c r="C557" s="12"/>
      <c r="D557" s="12"/>
      <c r="E557" s="12"/>
      <c r="F557" s="12"/>
      <c r="G557" s="12"/>
      <c r="H557" s="12" t="s">
        <v>411</v>
      </c>
      <c r="I557" s="12"/>
      <c r="J557" s="12"/>
      <c r="K557" s="10" t="s">
        <v>294</v>
      </c>
      <c r="L557" s="10"/>
      <c r="M557" s="10"/>
      <c r="N557" s="10"/>
      <c r="O557" s="12" t="s">
        <v>38</v>
      </c>
      <c r="P557" s="12">
        <v>933</v>
      </c>
      <c r="Q557" s="12" t="s">
        <v>295</v>
      </c>
      <c r="R557" s="12" t="s">
        <v>79</v>
      </c>
      <c r="S557" s="12" t="s">
        <v>284</v>
      </c>
      <c r="T557" s="12" t="s">
        <v>159</v>
      </c>
      <c r="U557" s="12" t="s">
        <v>159</v>
      </c>
      <c r="V557" s="12" t="s">
        <v>163</v>
      </c>
      <c r="W557" s="12" t="s">
        <v>289</v>
      </c>
      <c r="X557" s="12"/>
      <c r="Y557" s="12" t="s">
        <v>290</v>
      </c>
      <c r="Z557" s="12"/>
      <c r="AA557" s="12" t="s">
        <v>281</v>
      </c>
      <c r="AB557" s="12" t="s">
        <v>186</v>
      </c>
      <c r="AC557" s="12" t="str">
        <f>Table1[[#This Row],[City or Community (Santa Clara County)]]</f>
        <v>Gilroy</v>
      </c>
      <c r="AD557" s="12">
        <f>COUNTIF(H:H,Table1[[#This Row],[City or Community (Santa Clara County)]])</f>
        <v>8</v>
      </c>
      <c r="AE557" s="12" t="str">
        <f>Table1[[#This Row],[Please select your county]]</f>
        <v>Santa Clara County</v>
      </c>
      <c r="AF557" s="41">
        <f>COUNTIF(AE:AE,Table1[[#This Row],[County]])</f>
        <v>192</v>
      </c>
      <c r="AG557" s="12">
        <v>2025</v>
      </c>
    </row>
    <row r="558" spans="1:33" ht="15.5" x14ac:dyDescent="0.35">
      <c r="A558" s="12">
        <v>319</v>
      </c>
      <c r="B558" s="12" t="s">
        <v>151</v>
      </c>
      <c r="C558" s="12"/>
      <c r="D558" s="12"/>
      <c r="E558" s="12"/>
      <c r="F558" s="12"/>
      <c r="G558" s="12"/>
      <c r="H558" s="12" t="s">
        <v>411</v>
      </c>
      <c r="I558" s="12"/>
      <c r="J558" s="12"/>
      <c r="K558" s="10" t="s">
        <v>294</v>
      </c>
      <c r="L558" s="10"/>
      <c r="M558" s="10"/>
      <c r="N558" s="10"/>
      <c r="O558" s="12" t="s">
        <v>38</v>
      </c>
      <c r="P558" s="12">
        <v>933</v>
      </c>
      <c r="Q558" s="12" t="s">
        <v>295</v>
      </c>
      <c r="R558" s="12" t="s">
        <v>79</v>
      </c>
      <c r="S558" s="12" t="s">
        <v>272</v>
      </c>
      <c r="T558" s="12" t="s">
        <v>159</v>
      </c>
      <c r="U558" s="12" t="s">
        <v>159</v>
      </c>
      <c r="V558" s="12" t="s">
        <v>164</v>
      </c>
      <c r="W558" s="12" t="s">
        <v>289</v>
      </c>
      <c r="X558" s="12"/>
      <c r="Y558" s="12" t="s">
        <v>290</v>
      </c>
      <c r="Z558" s="12"/>
      <c r="AA558" s="12" t="s">
        <v>281</v>
      </c>
      <c r="AB558" s="12" t="s">
        <v>186</v>
      </c>
      <c r="AC558" s="12" t="str">
        <f>Table1[[#This Row],[City or Community (Santa Clara County)]]</f>
        <v>Gilroy</v>
      </c>
      <c r="AD558" s="12">
        <f>COUNTIF(H:H,Table1[[#This Row],[City or Community (Santa Clara County)]])</f>
        <v>8</v>
      </c>
      <c r="AE558" s="12" t="str">
        <f>Table1[[#This Row],[Please select your county]]</f>
        <v>Santa Clara County</v>
      </c>
      <c r="AF558" s="41">
        <f>COUNTIF(AE:AE,Table1[[#This Row],[County]])</f>
        <v>192</v>
      </c>
      <c r="AG558" s="12">
        <v>2025</v>
      </c>
    </row>
    <row r="559" spans="1:33" ht="15.5" x14ac:dyDescent="0.35">
      <c r="A559" s="12">
        <v>247</v>
      </c>
      <c r="B559" s="12" t="s">
        <v>152</v>
      </c>
      <c r="C559" s="12"/>
      <c r="D559" s="12"/>
      <c r="E559" s="12"/>
      <c r="F559" s="12"/>
      <c r="G559" s="12"/>
      <c r="H559" s="12"/>
      <c r="I559" s="12" t="s">
        <v>412</v>
      </c>
      <c r="J559" s="12"/>
      <c r="K559" s="10" t="s">
        <v>267</v>
      </c>
      <c r="L559" s="10"/>
      <c r="M559" s="10"/>
      <c r="N559" s="10"/>
      <c r="O559" s="12" t="s">
        <v>38</v>
      </c>
      <c r="P559" s="12">
        <v>175</v>
      </c>
      <c r="Q559" s="12" t="s">
        <v>281</v>
      </c>
      <c r="R559" s="12" t="s">
        <v>67</v>
      </c>
      <c r="S559" s="12" t="s">
        <v>276</v>
      </c>
      <c r="T559" s="12" t="s">
        <v>159</v>
      </c>
      <c r="U559" s="12" t="s">
        <v>160</v>
      </c>
      <c r="V559" s="12"/>
      <c r="W559" s="12"/>
      <c r="X559" s="12"/>
      <c r="Y559" s="12"/>
      <c r="Z559" s="12"/>
      <c r="AA559" s="12"/>
      <c r="AB559" s="12"/>
      <c r="AC559" s="12" t="str">
        <f>Table1[[#This Row],[City or Community (Solano County)]]</f>
        <v>Vallejo</v>
      </c>
      <c r="AD559" s="12">
        <f>COUNTIF(I:I,Table1[[#This Row],[City or Community (Solano County)]])</f>
        <v>17</v>
      </c>
      <c r="AE559" s="12" t="str">
        <f>Table1[[#This Row],[Please select your county]]</f>
        <v>Solano County</v>
      </c>
      <c r="AF559" s="41">
        <f>COUNTIF(AE:AE,Table1[[#This Row],[County]])</f>
        <v>18</v>
      </c>
      <c r="AG559" s="12">
        <v>2025</v>
      </c>
    </row>
    <row r="560" spans="1:33" ht="15.5" x14ac:dyDescent="0.35">
      <c r="A560" s="12">
        <v>569</v>
      </c>
      <c r="B560" s="12" t="s">
        <v>152</v>
      </c>
      <c r="C560" s="12"/>
      <c r="D560" s="12"/>
      <c r="E560" s="12"/>
      <c r="F560" s="12"/>
      <c r="G560" s="12"/>
      <c r="H560" s="12"/>
      <c r="I560" s="12" t="s">
        <v>412</v>
      </c>
      <c r="J560" s="12"/>
      <c r="K560" s="12" t="s">
        <v>267</v>
      </c>
      <c r="L560" s="12" t="s">
        <v>279</v>
      </c>
      <c r="M560" s="12" t="s">
        <v>269</v>
      </c>
      <c r="N560" s="12" t="s">
        <v>280</v>
      </c>
      <c r="O560" s="12" t="s">
        <v>38</v>
      </c>
      <c r="P560" s="12">
        <v>192</v>
      </c>
      <c r="Q560" s="12" t="s">
        <v>271</v>
      </c>
      <c r="R560" s="12" t="s">
        <v>68</v>
      </c>
      <c r="S560" s="12" t="s">
        <v>275</v>
      </c>
      <c r="T560" s="12" t="s">
        <v>159</v>
      </c>
      <c r="U560" s="12" t="s">
        <v>160</v>
      </c>
      <c r="V560" s="12"/>
      <c r="W560" s="12"/>
      <c r="X560" s="12"/>
      <c r="Y560" s="12"/>
      <c r="Z560" s="12"/>
      <c r="AA560" s="12"/>
      <c r="AB560" s="12"/>
      <c r="AC560" s="12" t="str">
        <f>Table1[[#This Row],[City or Community (Solano County)]]</f>
        <v>Vallejo</v>
      </c>
      <c r="AD560" s="12">
        <f>COUNTIF(I:I,Table1[[#This Row],[City or Community (Solano County)]])</f>
        <v>17</v>
      </c>
      <c r="AE560" s="12" t="str">
        <f>Table1[[#This Row],[Please select your county]]</f>
        <v>Solano County</v>
      </c>
      <c r="AF560" s="41">
        <f>COUNTIF(AE:AE,Table1[[#This Row],[County]])</f>
        <v>18</v>
      </c>
      <c r="AG560" s="12">
        <v>2025</v>
      </c>
    </row>
    <row r="561" spans="1:33" ht="15.5" x14ac:dyDescent="0.35">
      <c r="A561" s="12">
        <v>250</v>
      </c>
      <c r="B561" s="12" t="s">
        <v>152</v>
      </c>
      <c r="C561" s="12"/>
      <c r="D561" s="12"/>
      <c r="E561" s="12"/>
      <c r="F561" s="12"/>
      <c r="G561" s="12"/>
      <c r="H561" s="12"/>
      <c r="I561" s="12" t="s">
        <v>412</v>
      </c>
      <c r="J561" s="12"/>
      <c r="K561" s="10" t="s">
        <v>267</v>
      </c>
      <c r="L561" s="10"/>
      <c r="M561" s="10"/>
      <c r="N561" s="10"/>
      <c r="O561" s="12" t="s">
        <v>38</v>
      </c>
      <c r="P561" s="12">
        <v>223</v>
      </c>
      <c r="Q561" s="12" t="s">
        <v>281</v>
      </c>
      <c r="R561" s="12" t="s">
        <v>67</v>
      </c>
      <c r="S561" s="12" t="s">
        <v>276</v>
      </c>
      <c r="T561" s="12" t="s">
        <v>159</v>
      </c>
      <c r="U561" s="12" t="s">
        <v>160</v>
      </c>
      <c r="V561" s="12"/>
      <c r="W561" s="12"/>
      <c r="X561" s="12"/>
      <c r="Y561" s="12"/>
      <c r="Z561" s="12"/>
      <c r="AA561" s="12"/>
      <c r="AB561" s="12"/>
      <c r="AC561" s="12" t="str">
        <f>Table1[[#This Row],[City or Community (Solano County)]]</f>
        <v>Vallejo</v>
      </c>
      <c r="AD561" s="12">
        <f>COUNTIF(I:I,Table1[[#This Row],[City or Community (Solano County)]])</f>
        <v>17</v>
      </c>
      <c r="AE561" s="12" t="str">
        <f>Table1[[#This Row],[Please select your county]]</f>
        <v>Solano County</v>
      </c>
      <c r="AF561" s="41">
        <f>COUNTIF(AE:AE,Table1[[#This Row],[County]])</f>
        <v>18</v>
      </c>
      <c r="AG561" s="12">
        <v>2025</v>
      </c>
    </row>
    <row r="562" spans="1:33" ht="15.5" x14ac:dyDescent="0.35">
      <c r="A562" s="12">
        <v>581</v>
      </c>
      <c r="B562" s="12" t="s">
        <v>152</v>
      </c>
      <c r="C562" s="12"/>
      <c r="D562" s="12"/>
      <c r="E562" s="12"/>
      <c r="F562" s="12"/>
      <c r="G562" s="12"/>
      <c r="H562" s="12"/>
      <c r="I562" s="12" t="s">
        <v>412</v>
      </c>
      <c r="J562" s="12"/>
      <c r="K562" s="12" t="s">
        <v>274</v>
      </c>
      <c r="L562" s="12" t="s">
        <v>312</v>
      </c>
      <c r="M562" s="12" t="s">
        <v>269</v>
      </c>
      <c r="N562" s="12" t="s">
        <v>280</v>
      </c>
      <c r="O562" s="12" t="s">
        <v>38</v>
      </c>
      <c r="P562" s="12">
        <v>312</v>
      </c>
      <c r="Q562" s="12" t="s">
        <v>271</v>
      </c>
      <c r="R562" s="12" t="s">
        <v>68</v>
      </c>
      <c r="S562" s="12" t="s">
        <v>405</v>
      </c>
      <c r="T562" s="12" t="s">
        <v>159</v>
      </c>
      <c r="U562" s="12" t="s">
        <v>160</v>
      </c>
      <c r="V562" s="12"/>
      <c r="W562" s="12"/>
      <c r="X562" s="12"/>
      <c r="Y562" s="12"/>
      <c r="Z562" s="12"/>
      <c r="AA562" s="12"/>
      <c r="AB562" s="12"/>
      <c r="AC562" s="12" t="str">
        <f>Table1[[#This Row],[City or Community (Solano County)]]</f>
        <v>Vallejo</v>
      </c>
      <c r="AD562" s="12">
        <f>COUNTIF(I:I,Table1[[#This Row],[City or Community (Solano County)]])</f>
        <v>17</v>
      </c>
      <c r="AE562" s="12" t="str">
        <f>Table1[[#This Row],[Please select your county]]</f>
        <v>Solano County</v>
      </c>
      <c r="AF562" s="41">
        <f>COUNTIF(AE:AE,Table1[[#This Row],[County]])</f>
        <v>18</v>
      </c>
      <c r="AG562" s="12">
        <v>2025</v>
      </c>
    </row>
    <row r="563" spans="1:33" ht="31" x14ac:dyDescent="0.35">
      <c r="A563" s="12">
        <v>456</v>
      </c>
      <c r="B563" s="12" t="s">
        <v>152</v>
      </c>
      <c r="C563" s="12"/>
      <c r="D563" s="12"/>
      <c r="E563" s="12"/>
      <c r="F563" s="12"/>
      <c r="G563" s="12"/>
      <c r="H563" s="12"/>
      <c r="I563" s="12" t="s">
        <v>412</v>
      </c>
      <c r="J563" s="12"/>
      <c r="K563" s="10" t="s">
        <v>274</v>
      </c>
      <c r="L563" s="10" t="s">
        <v>312</v>
      </c>
      <c r="M563" s="10" t="s">
        <v>269</v>
      </c>
      <c r="N563" s="10" t="s">
        <v>280</v>
      </c>
      <c r="O563" s="12" t="s">
        <v>38</v>
      </c>
      <c r="P563" s="12">
        <v>420</v>
      </c>
      <c r="Q563" s="12" t="s">
        <v>271</v>
      </c>
      <c r="R563" s="12" t="s">
        <v>67</v>
      </c>
      <c r="S563" s="12" t="s">
        <v>272</v>
      </c>
      <c r="T563" s="12" t="s">
        <v>159</v>
      </c>
      <c r="U563" s="12" t="s">
        <v>159</v>
      </c>
      <c r="V563" s="12" t="s">
        <v>163</v>
      </c>
      <c r="W563" s="12" t="s">
        <v>318</v>
      </c>
      <c r="X563" s="12"/>
      <c r="Y563" s="12" t="s">
        <v>319</v>
      </c>
      <c r="Z563" s="12"/>
      <c r="AA563" s="12" t="s">
        <v>286</v>
      </c>
      <c r="AB563" s="12" t="s">
        <v>187</v>
      </c>
      <c r="AC563" s="12" t="str">
        <f>Table1[[#This Row],[City or Community (Solano County)]]</f>
        <v>Vallejo</v>
      </c>
      <c r="AD563" s="12">
        <f>COUNTIF(I:I,Table1[[#This Row],[City or Community (Solano County)]])</f>
        <v>17</v>
      </c>
      <c r="AE563" s="12" t="str">
        <f>Table1[[#This Row],[Please select your county]]</f>
        <v>Solano County</v>
      </c>
      <c r="AF563" s="41">
        <f>COUNTIF(AE:AE,Table1[[#This Row],[County]])</f>
        <v>18</v>
      </c>
      <c r="AG563" s="12">
        <v>2025</v>
      </c>
    </row>
    <row r="564" spans="1:33" ht="15.5" x14ac:dyDescent="0.35">
      <c r="A564" s="12">
        <v>179</v>
      </c>
      <c r="B564" s="12" t="s">
        <v>152</v>
      </c>
      <c r="C564" s="12"/>
      <c r="D564" s="12"/>
      <c r="E564" s="12"/>
      <c r="F564" s="12"/>
      <c r="G564" s="12"/>
      <c r="H564" s="12"/>
      <c r="I564" s="12" t="s">
        <v>412</v>
      </c>
      <c r="J564" s="12"/>
      <c r="K564" s="10" t="s">
        <v>267</v>
      </c>
      <c r="L564" s="10"/>
      <c r="M564" s="10"/>
      <c r="N564" s="10"/>
      <c r="O564" s="12" t="s">
        <v>38</v>
      </c>
      <c r="P564" s="12">
        <v>438</v>
      </c>
      <c r="Q564" s="12" t="s">
        <v>281</v>
      </c>
      <c r="R564" s="12" t="s">
        <v>68</v>
      </c>
      <c r="S564" s="12" t="s">
        <v>272</v>
      </c>
      <c r="T564" s="12" t="s">
        <v>159</v>
      </c>
      <c r="U564" s="12" t="s">
        <v>159</v>
      </c>
      <c r="V564" s="12" t="s">
        <v>162</v>
      </c>
      <c r="W564" s="12" t="s">
        <v>289</v>
      </c>
      <c r="X564" s="12" t="s">
        <v>413</v>
      </c>
      <c r="Y564" s="12" t="s">
        <v>290</v>
      </c>
      <c r="Z564" s="12" t="s">
        <v>414</v>
      </c>
      <c r="AA564" s="12" t="s">
        <v>286</v>
      </c>
      <c r="AB564" s="12" t="s">
        <v>190</v>
      </c>
      <c r="AC564" s="12" t="str">
        <f>Table1[[#This Row],[City or Community (Solano County)]]</f>
        <v>Vallejo</v>
      </c>
      <c r="AD564" s="12">
        <f>COUNTIF(I:I,Table1[[#This Row],[City or Community (Solano County)]])</f>
        <v>17</v>
      </c>
      <c r="AE564" s="12" t="str">
        <f>Table1[[#This Row],[Please select your county]]</f>
        <v>Solano County</v>
      </c>
      <c r="AF564" s="41">
        <f>COUNTIF(AE:AE,Table1[[#This Row],[County]])</f>
        <v>18</v>
      </c>
      <c r="AG564" s="12">
        <v>2025</v>
      </c>
    </row>
    <row r="565" spans="1:33" ht="31" x14ac:dyDescent="0.35">
      <c r="A565" s="12">
        <v>588</v>
      </c>
      <c r="B565" s="12" t="s">
        <v>152</v>
      </c>
      <c r="C565" s="12"/>
      <c r="D565" s="12"/>
      <c r="E565" s="12"/>
      <c r="F565" s="12"/>
      <c r="G565" s="12"/>
      <c r="H565" s="12"/>
      <c r="I565" s="12" t="s">
        <v>412</v>
      </c>
      <c r="J565" s="12"/>
      <c r="K565" s="10" t="s">
        <v>274</v>
      </c>
      <c r="L565" s="10" t="s">
        <v>279</v>
      </c>
      <c r="M565" s="10" t="s">
        <v>301</v>
      </c>
      <c r="N565" s="10" t="s">
        <v>280</v>
      </c>
      <c r="O565" s="12" t="s">
        <v>38</v>
      </c>
      <c r="P565" s="12">
        <v>465</v>
      </c>
      <c r="Q565" s="12" t="s">
        <v>281</v>
      </c>
      <c r="R565" s="12" t="s">
        <v>79</v>
      </c>
      <c r="S565" s="12" t="s">
        <v>272</v>
      </c>
      <c r="T565" s="12" t="s">
        <v>159</v>
      </c>
      <c r="U565" s="12" t="s">
        <v>160</v>
      </c>
      <c r="V565" s="12"/>
      <c r="W565" s="12"/>
      <c r="X565" s="12"/>
      <c r="Y565" s="12"/>
      <c r="Z565" s="12"/>
      <c r="AA565" s="12"/>
      <c r="AB565" s="12"/>
      <c r="AC565" s="12" t="str">
        <f>Table1[[#This Row],[City or Community (Solano County)]]</f>
        <v>Vallejo</v>
      </c>
      <c r="AD565" s="12">
        <f>COUNTIF(I:I,Table1[[#This Row],[City or Community (Solano County)]])</f>
        <v>17</v>
      </c>
      <c r="AE565" s="12" t="str">
        <f>Table1[[#This Row],[Please select your county]]</f>
        <v>Solano County</v>
      </c>
      <c r="AF565" s="41">
        <f>COUNTIF(AE:AE,Table1[[#This Row],[County]])</f>
        <v>18</v>
      </c>
      <c r="AG565" s="12">
        <v>2025</v>
      </c>
    </row>
    <row r="566" spans="1:33" ht="15.5" x14ac:dyDescent="0.35">
      <c r="A566" s="12">
        <v>290</v>
      </c>
      <c r="B566" s="12" t="s">
        <v>152</v>
      </c>
      <c r="C566" s="12"/>
      <c r="D566" s="12"/>
      <c r="E566" s="12"/>
      <c r="F566" s="12"/>
      <c r="G566" s="12"/>
      <c r="H566" s="12"/>
      <c r="I566" s="12" t="s">
        <v>412</v>
      </c>
      <c r="J566" s="12"/>
      <c r="K566" s="10" t="s">
        <v>274</v>
      </c>
      <c r="L566" s="10"/>
      <c r="M566" s="10"/>
      <c r="N566" s="10"/>
      <c r="O566" s="12" t="s">
        <v>38</v>
      </c>
      <c r="P566" s="12">
        <v>468</v>
      </c>
      <c r="Q566" s="12" t="s">
        <v>281</v>
      </c>
      <c r="R566" s="12" t="s">
        <v>79</v>
      </c>
      <c r="S566" s="12" t="s">
        <v>272</v>
      </c>
      <c r="T566" s="12" t="s">
        <v>159</v>
      </c>
      <c r="U566" s="12" t="s">
        <v>159</v>
      </c>
      <c r="V566" s="12" t="s">
        <v>164</v>
      </c>
      <c r="W566" s="12" t="s">
        <v>289</v>
      </c>
      <c r="X566" s="12"/>
      <c r="Y566" s="12" t="s">
        <v>290</v>
      </c>
      <c r="Z566" s="12"/>
      <c r="AA566" s="12" t="s">
        <v>295</v>
      </c>
      <c r="AB566" s="12" t="s">
        <v>165</v>
      </c>
      <c r="AC566" s="12" t="str">
        <f>Table1[[#This Row],[City or Community (Solano County)]]</f>
        <v>Vallejo</v>
      </c>
      <c r="AD566" s="12">
        <f>COUNTIF(I:I,Table1[[#This Row],[City or Community (Solano County)]])</f>
        <v>17</v>
      </c>
      <c r="AE566" s="12" t="str">
        <f>Table1[[#This Row],[Please select your county]]</f>
        <v>Solano County</v>
      </c>
      <c r="AF566" s="41">
        <f>COUNTIF(AE:AE,Table1[[#This Row],[County]])</f>
        <v>18</v>
      </c>
      <c r="AG566" s="12">
        <v>2025</v>
      </c>
    </row>
    <row r="567" spans="1:33" ht="31" x14ac:dyDescent="0.35">
      <c r="A567" s="12">
        <v>514</v>
      </c>
      <c r="B567" s="12" t="s">
        <v>152</v>
      </c>
      <c r="C567" s="12"/>
      <c r="D567" s="12"/>
      <c r="E567" s="12"/>
      <c r="F567" s="12"/>
      <c r="G567" s="12"/>
      <c r="H567" s="12"/>
      <c r="I567" s="12" t="s">
        <v>412</v>
      </c>
      <c r="J567" s="12"/>
      <c r="K567" s="10" t="s">
        <v>273</v>
      </c>
      <c r="L567" s="10" t="s">
        <v>279</v>
      </c>
      <c r="M567" s="10" t="s">
        <v>269</v>
      </c>
      <c r="N567" s="10" t="s">
        <v>280</v>
      </c>
      <c r="O567" s="12" t="s">
        <v>39</v>
      </c>
      <c r="P567" s="12">
        <v>525</v>
      </c>
      <c r="Q567" s="12" t="s">
        <v>271</v>
      </c>
      <c r="R567" s="12" t="s">
        <v>76</v>
      </c>
      <c r="S567" s="12" t="s">
        <v>276</v>
      </c>
      <c r="T567" s="12" t="s">
        <v>159</v>
      </c>
      <c r="U567" s="12" t="s">
        <v>160</v>
      </c>
      <c r="V567" s="12"/>
      <c r="W567" s="12"/>
      <c r="X567" s="12"/>
      <c r="Y567" s="12"/>
      <c r="Z567" s="12"/>
      <c r="AA567" s="12"/>
      <c r="AB567" s="12"/>
      <c r="AC567" s="12" t="str">
        <f>Table1[[#This Row],[City or Community (Solano County)]]</f>
        <v>Vallejo</v>
      </c>
      <c r="AD567" s="12">
        <f>COUNTIF(I:I,Table1[[#This Row],[City or Community (Solano County)]])</f>
        <v>17</v>
      </c>
      <c r="AE567" s="12" t="str">
        <f>Table1[[#This Row],[Please select your county]]</f>
        <v>Solano County</v>
      </c>
      <c r="AF567" s="41">
        <f>COUNTIF(AE:AE,Table1[[#This Row],[County]])</f>
        <v>18</v>
      </c>
      <c r="AG567" s="12">
        <v>2025</v>
      </c>
    </row>
    <row r="568" spans="1:33" ht="15.5" x14ac:dyDescent="0.35">
      <c r="A568" s="12">
        <v>98</v>
      </c>
      <c r="B568" s="12" t="s">
        <v>152</v>
      </c>
      <c r="C568" s="12"/>
      <c r="D568" s="12"/>
      <c r="E568" s="12"/>
      <c r="F568" s="12"/>
      <c r="G568" s="12"/>
      <c r="H568" s="12"/>
      <c r="I568" s="12" t="s">
        <v>412</v>
      </c>
      <c r="J568" s="12"/>
      <c r="K568" s="10" t="s">
        <v>267</v>
      </c>
      <c r="L568" s="10"/>
      <c r="M568" s="10"/>
      <c r="N568" s="10"/>
      <c r="O568" s="12" t="s">
        <v>38</v>
      </c>
      <c r="P568" s="12">
        <v>550</v>
      </c>
      <c r="Q568" s="12" t="s">
        <v>295</v>
      </c>
      <c r="R568" s="12" t="s">
        <v>69</v>
      </c>
      <c r="S568" s="12" t="s">
        <v>282</v>
      </c>
      <c r="T568" s="12" t="s">
        <v>160</v>
      </c>
      <c r="U568" s="12" t="s">
        <v>160</v>
      </c>
      <c r="V568" s="12"/>
      <c r="W568" s="12"/>
      <c r="X568" s="12"/>
      <c r="Y568" s="12"/>
      <c r="Z568" s="12"/>
      <c r="AA568" s="12"/>
      <c r="AB568" s="12"/>
      <c r="AC568" s="12" t="str">
        <f>Table1[[#This Row],[City or Community (Solano County)]]</f>
        <v>Vallejo</v>
      </c>
      <c r="AD568" s="12">
        <f>COUNTIF(I:I,Table1[[#This Row],[City or Community (Solano County)]])</f>
        <v>17</v>
      </c>
      <c r="AE568" s="12" t="str">
        <f>Table1[[#This Row],[Please select your county]]</f>
        <v>Solano County</v>
      </c>
      <c r="AF568" s="41">
        <f>COUNTIF(AE:AE,Table1[[#This Row],[County]])</f>
        <v>18</v>
      </c>
      <c r="AG568" s="12">
        <v>2025</v>
      </c>
    </row>
    <row r="569" spans="1:33" ht="15.5" x14ac:dyDescent="0.35">
      <c r="A569" s="12">
        <v>227</v>
      </c>
      <c r="B569" s="12" t="s">
        <v>152</v>
      </c>
      <c r="C569" s="12"/>
      <c r="D569" s="12"/>
      <c r="E569" s="12"/>
      <c r="F569" s="12"/>
      <c r="G569" s="12"/>
      <c r="H569" s="12"/>
      <c r="I569" s="12" t="s">
        <v>412</v>
      </c>
      <c r="J569" s="12"/>
      <c r="K569" s="12" t="s">
        <v>274</v>
      </c>
      <c r="L569" s="12"/>
      <c r="M569" s="12"/>
      <c r="N569" s="12"/>
      <c r="O569" s="12" t="s">
        <v>38</v>
      </c>
      <c r="P569" s="12">
        <v>576</v>
      </c>
      <c r="Q569" s="12" t="s">
        <v>281</v>
      </c>
      <c r="R569" s="12" t="s">
        <v>79</v>
      </c>
      <c r="S569" s="12" t="s">
        <v>272</v>
      </c>
      <c r="T569" s="12" t="s">
        <v>159</v>
      </c>
      <c r="U569" s="12" t="s">
        <v>160</v>
      </c>
      <c r="V569" s="12"/>
      <c r="W569" s="12"/>
      <c r="X569" s="12"/>
      <c r="Y569" s="12"/>
      <c r="Z569" s="12"/>
      <c r="AA569" s="12"/>
      <c r="AB569" s="12"/>
      <c r="AC569" s="12" t="str">
        <f>Table1[[#This Row],[City or Community (Solano County)]]</f>
        <v>Vallejo</v>
      </c>
      <c r="AD569" s="12">
        <f>COUNTIF(I:I,Table1[[#This Row],[City or Community (Solano County)]])</f>
        <v>17</v>
      </c>
      <c r="AE569" s="12" t="str">
        <f>Table1[[#This Row],[Please select your county]]</f>
        <v>Solano County</v>
      </c>
      <c r="AF569" s="41">
        <f>COUNTIF(AE:AE,Table1[[#This Row],[County]])</f>
        <v>18</v>
      </c>
      <c r="AG569" s="12">
        <v>2025</v>
      </c>
    </row>
    <row r="570" spans="1:33" ht="31" x14ac:dyDescent="0.35">
      <c r="A570" s="12">
        <v>500</v>
      </c>
      <c r="B570" s="12" t="s">
        <v>152</v>
      </c>
      <c r="C570" s="12"/>
      <c r="D570" s="12"/>
      <c r="E570" s="12"/>
      <c r="F570" s="12"/>
      <c r="G570" s="12"/>
      <c r="H570" s="12"/>
      <c r="I570" s="12" t="s">
        <v>412</v>
      </c>
      <c r="J570" s="12"/>
      <c r="K570" s="10" t="s">
        <v>274</v>
      </c>
      <c r="L570" s="10" t="s">
        <v>279</v>
      </c>
      <c r="M570" s="10" t="s">
        <v>301</v>
      </c>
      <c r="N570" s="10" t="s">
        <v>280</v>
      </c>
      <c r="O570" s="12" t="s">
        <v>38</v>
      </c>
      <c r="P570" s="12">
        <v>700</v>
      </c>
      <c r="Q570" s="12" t="s">
        <v>281</v>
      </c>
      <c r="R570" s="12" t="s">
        <v>79</v>
      </c>
      <c r="S570" s="12" t="s">
        <v>276</v>
      </c>
      <c r="T570" s="12" t="s">
        <v>159</v>
      </c>
      <c r="U570" s="12" t="s">
        <v>159</v>
      </c>
      <c r="V570" s="12" t="s">
        <v>164</v>
      </c>
      <c r="W570" s="12" t="s">
        <v>289</v>
      </c>
      <c r="X570" s="12"/>
      <c r="Y570" s="12" t="s">
        <v>290</v>
      </c>
      <c r="Z570" s="12"/>
      <c r="AA570" s="12" t="s">
        <v>295</v>
      </c>
      <c r="AB570" s="12" t="s">
        <v>165</v>
      </c>
      <c r="AC570" s="12" t="str">
        <f>Table1[[#This Row],[City or Community (Solano County)]]</f>
        <v>Vallejo</v>
      </c>
      <c r="AD570" s="12">
        <f>COUNTIF(I:I,Table1[[#This Row],[City or Community (Solano County)]])</f>
        <v>17</v>
      </c>
      <c r="AE570" s="12" t="str">
        <f>Table1[[#This Row],[Please select your county]]</f>
        <v>Solano County</v>
      </c>
      <c r="AF570" s="41">
        <f>COUNTIF(AE:AE,Table1[[#This Row],[County]])</f>
        <v>18</v>
      </c>
      <c r="AG570" s="12">
        <v>2025</v>
      </c>
    </row>
    <row r="571" spans="1:33" ht="15.5" x14ac:dyDescent="0.35">
      <c r="A571" s="12">
        <v>273</v>
      </c>
      <c r="B571" s="12" t="s">
        <v>152</v>
      </c>
      <c r="C571" s="12"/>
      <c r="D571" s="12"/>
      <c r="E571" s="12"/>
      <c r="F571" s="12"/>
      <c r="G571" s="12"/>
      <c r="H571" s="12"/>
      <c r="I571" s="12" t="s">
        <v>412</v>
      </c>
      <c r="J571" s="12"/>
      <c r="K571" s="10" t="s">
        <v>321</v>
      </c>
      <c r="L571" s="10"/>
      <c r="M571" s="10"/>
      <c r="N571" s="10"/>
      <c r="O571" s="12" t="s">
        <v>38</v>
      </c>
      <c r="P571" s="12">
        <v>740</v>
      </c>
      <c r="Q571" s="12" t="s">
        <v>295</v>
      </c>
      <c r="R571" s="12" t="s">
        <v>71</v>
      </c>
      <c r="S571" s="12" t="s">
        <v>297</v>
      </c>
      <c r="T571" s="12" t="s">
        <v>159</v>
      </c>
      <c r="U571" s="12" t="s">
        <v>160</v>
      </c>
      <c r="V571" s="12"/>
      <c r="W571" s="12"/>
      <c r="X571" s="12"/>
      <c r="Y571" s="12"/>
      <c r="Z571" s="12"/>
      <c r="AA571" s="12"/>
      <c r="AB571" s="12"/>
      <c r="AC571" s="12" t="str">
        <f>Table1[[#This Row],[City or Community (Solano County)]]</f>
        <v>Vallejo</v>
      </c>
      <c r="AD571" s="12">
        <f>COUNTIF(I:I,Table1[[#This Row],[City or Community (Solano County)]])</f>
        <v>17</v>
      </c>
      <c r="AE571" s="12" t="str">
        <f>Table1[[#This Row],[Please select your county]]</f>
        <v>Solano County</v>
      </c>
      <c r="AF571" s="41">
        <f>COUNTIF(AE:AE,Table1[[#This Row],[County]])</f>
        <v>18</v>
      </c>
      <c r="AG571" s="12">
        <v>2025</v>
      </c>
    </row>
    <row r="572" spans="1:33" ht="15.5" x14ac:dyDescent="0.35">
      <c r="A572" s="12">
        <v>215</v>
      </c>
      <c r="B572" s="12" t="s">
        <v>152</v>
      </c>
      <c r="C572" s="12"/>
      <c r="D572" s="12"/>
      <c r="E572" s="12"/>
      <c r="F572" s="12"/>
      <c r="G572" s="12"/>
      <c r="H572" s="12"/>
      <c r="I572" s="12" t="s">
        <v>412</v>
      </c>
      <c r="J572" s="12"/>
      <c r="K572" s="12" t="s">
        <v>267</v>
      </c>
      <c r="L572" s="12"/>
      <c r="M572" s="12"/>
      <c r="N572" s="12"/>
      <c r="O572" s="12" t="s">
        <v>38</v>
      </c>
      <c r="P572" s="12">
        <v>800</v>
      </c>
      <c r="Q572" s="12" t="s">
        <v>295</v>
      </c>
      <c r="R572" s="12" t="s">
        <v>70</v>
      </c>
      <c r="S572" s="12" t="s">
        <v>297</v>
      </c>
      <c r="T572" s="12" t="s">
        <v>83</v>
      </c>
      <c r="U572" s="12" t="s">
        <v>159</v>
      </c>
      <c r="V572" s="12" t="s">
        <v>162</v>
      </c>
      <c r="W572" s="12" t="s">
        <v>318</v>
      </c>
      <c r="X572" s="12"/>
      <c r="Y572" s="12" t="s">
        <v>409</v>
      </c>
      <c r="Z572" s="12"/>
      <c r="AA572" s="12" t="s">
        <v>281</v>
      </c>
      <c r="AB572" s="12" t="s">
        <v>187</v>
      </c>
      <c r="AC572" s="12" t="str">
        <f>Table1[[#This Row],[City or Community (Solano County)]]</f>
        <v>Vallejo</v>
      </c>
      <c r="AD572" s="12">
        <f>COUNTIF(I:I,Table1[[#This Row],[City or Community (Solano County)]])</f>
        <v>17</v>
      </c>
      <c r="AE572" s="12" t="str">
        <f>Table1[[#This Row],[Please select your county]]</f>
        <v>Solano County</v>
      </c>
      <c r="AF572" s="41">
        <f>COUNTIF(AE:AE,Table1[[#This Row],[County]])</f>
        <v>18</v>
      </c>
      <c r="AG572" s="12">
        <v>2025</v>
      </c>
    </row>
    <row r="573" spans="1:33" ht="15.5" x14ac:dyDescent="0.35">
      <c r="A573" s="12">
        <v>324</v>
      </c>
      <c r="B573" s="12" t="s">
        <v>152</v>
      </c>
      <c r="C573" s="12"/>
      <c r="D573" s="12"/>
      <c r="E573" s="12"/>
      <c r="F573" s="12"/>
      <c r="G573" s="12"/>
      <c r="H573" s="12"/>
      <c r="I573" s="12" t="s">
        <v>412</v>
      </c>
      <c r="J573" s="12"/>
      <c r="K573" s="10" t="s">
        <v>283</v>
      </c>
      <c r="L573" s="10"/>
      <c r="M573" s="10"/>
      <c r="N573" s="10"/>
      <c r="O573" s="12" t="s">
        <v>38</v>
      </c>
      <c r="P573" s="12">
        <v>850</v>
      </c>
      <c r="Q573" s="12" t="s">
        <v>326</v>
      </c>
      <c r="R573" s="12" t="s">
        <v>79</v>
      </c>
      <c r="S573" s="12" t="s">
        <v>276</v>
      </c>
      <c r="T573" s="12" t="s">
        <v>83</v>
      </c>
      <c r="U573" s="12" t="s">
        <v>159</v>
      </c>
      <c r="V573" s="12" t="s">
        <v>163</v>
      </c>
      <c r="W573" s="12" t="s">
        <v>299</v>
      </c>
      <c r="X573" s="12"/>
      <c r="Y573" s="12" t="s">
        <v>334</v>
      </c>
      <c r="Z573" s="12" t="s">
        <v>415</v>
      </c>
      <c r="AA573" s="12" t="s">
        <v>291</v>
      </c>
      <c r="AB573" s="12" t="s">
        <v>188</v>
      </c>
      <c r="AC573" s="12" t="str">
        <f>Table1[[#This Row],[City or Community (Solano County)]]</f>
        <v>Vallejo</v>
      </c>
      <c r="AD573" s="12">
        <f>COUNTIF(I:I,Table1[[#This Row],[City or Community (Solano County)]])</f>
        <v>17</v>
      </c>
      <c r="AE573" s="12" t="str">
        <f>Table1[[#This Row],[Please select your county]]</f>
        <v>Solano County</v>
      </c>
      <c r="AF573" s="41">
        <f>COUNTIF(AE:AE,Table1[[#This Row],[County]])</f>
        <v>18</v>
      </c>
      <c r="AG573" s="12">
        <v>2025</v>
      </c>
    </row>
    <row r="574" spans="1:33" ht="15.5" x14ac:dyDescent="0.35">
      <c r="A574" s="12">
        <v>283</v>
      </c>
      <c r="B574" s="12" t="s">
        <v>152</v>
      </c>
      <c r="C574" s="12"/>
      <c r="D574" s="12"/>
      <c r="E574" s="12"/>
      <c r="F574" s="12"/>
      <c r="G574" s="12"/>
      <c r="H574" s="12"/>
      <c r="I574" s="12" t="s">
        <v>412</v>
      </c>
      <c r="J574" s="12"/>
      <c r="K574" s="10" t="s">
        <v>287</v>
      </c>
      <c r="L574" s="10"/>
      <c r="M574" s="10"/>
      <c r="N574" s="10"/>
      <c r="O574" s="12" t="s">
        <v>38</v>
      </c>
      <c r="P574" s="12">
        <v>1000</v>
      </c>
      <c r="Q574" s="12" t="s">
        <v>281</v>
      </c>
      <c r="R574" s="12" t="s">
        <v>79</v>
      </c>
      <c r="S574" s="12" t="s">
        <v>284</v>
      </c>
      <c r="T574" s="12" t="s">
        <v>159</v>
      </c>
      <c r="U574" s="12" t="s">
        <v>160</v>
      </c>
      <c r="V574" s="12"/>
      <c r="W574" s="12"/>
      <c r="X574" s="12"/>
      <c r="Y574" s="12"/>
      <c r="Z574" s="12"/>
      <c r="AA574" s="12"/>
      <c r="AB574" s="12"/>
      <c r="AC574" s="12" t="str">
        <f>Table1[[#This Row],[City or Community (Solano County)]]</f>
        <v>Vallejo</v>
      </c>
      <c r="AD574" s="12">
        <f>COUNTIF(I:I,Table1[[#This Row],[City or Community (Solano County)]])</f>
        <v>17</v>
      </c>
      <c r="AE574" s="12" t="str">
        <f>Table1[[#This Row],[Please select your county]]</f>
        <v>Solano County</v>
      </c>
      <c r="AF574" s="41">
        <f>COUNTIF(AE:AE,Table1[[#This Row],[County]])</f>
        <v>18</v>
      </c>
      <c r="AG574" s="12">
        <v>2025</v>
      </c>
    </row>
    <row r="575" spans="1:33" ht="15.5" x14ac:dyDescent="0.35">
      <c r="A575" s="12">
        <v>576</v>
      </c>
      <c r="B575" s="12" t="s">
        <v>152</v>
      </c>
      <c r="C575" s="12"/>
      <c r="D575" s="12"/>
      <c r="E575" s="12"/>
      <c r="F575" s="12"/>
      <c r="G575" s="12"/>
      <c r="H575" s="12"/>
      <c r="I575" s="12" t="s">
        <v>412</v>
      </c>
      <c r="J575" s="12"/>
      <c r="K575" s="12" t="s">
        <v>267</v>
      </c>
      <c r="L575" s="12" t="s">
        <v>279</v>
      </c>
      <c r="M575" s="12" t="s">
        <v>269</v>
      </c>
      <c r="N575" s="12" t="s">
        <v>288</v>
      </c>
      <c r="O575" s="12" t="s">
        <v>38</v>
      </c>
      <c r="P575" s="12">
        <v>1500</v>
      </c>
      <c r="Q575" s="12" t="s">
        <v>295</v>
      </c>
      <c r="R575" s="12" t="s">
        <v>69</v>
      </c>
      <c r="S575" s="12" t="s">
        <v>282</v>
      </c>
      <c r="T575" s="12" t="s">
        <v>83</v>
      </c>
      <c r="U575" s="12" t="s">
        <v>160</v>
      </c>
      <c r="V575" s="12"/>
      <c r="W575" s="12"/>
      <c r="X575" s="12"/>
      <c r="Y575" s="12"/>
      <c r="Z575" s="12"/>
      <c r="AA575" s="12"/>
      <c r="AB575" s="12"/>
      <c r="AC575" s="12" t="str">
        <f>Table1[[#This Row],[City or Community (Solano County)]]</f>
        <v>Vallejo</v>
      </c>
      <c r="AD575" s="12">
        <f>COUNTIF(I:I,Table1[[#This Row],[City or Community (Solano County)]])</f>
        <v>17</v>
      </c>
      <c r="AE575" s="12" t="str">
        <f>Table1[[#This Row],[Please select your county]]</f>
        <v>Solano County</v>
      </c>
      <c r="AF575" s="41">
        <f>COUNTIF(AE:AE,Table1[[#This Row],[County]])</f>
        <v>18</v>
      </c>
      <c r="AG575" s="12">
        <v>2025</v>
      </c>
    </row>
    <row r="576" spans="1:33" ht="15.5" x14ac:dyDescent="0.35">
      <c r="A576" s="12">
        <v>263</v>
      </c>
      <c r="B576" s="12" t="s">
        <v>152</v>
      </c>
      <c r="C576" s="12"/>
      <c r="D576" s="12"/>
      <c r="E576" s="12"/>
      <c r="F576" s="12"/>
      <c r="G576" s="12"/>
      <c r="H576" s="12"/>
      <c r="I576" s="12" t="s">
        <v>416</v>
      </c>
      <c r="J576" s="12"/>
      <c r="K576" s="10" t="s">
        <v>417</v>
      </c>
      <c r="L576" s="10"/>
      <c r="M576" s="10"/>
      <c r="N576" s="10"/>
      <c r="O576" s="12" t="s">
        <v>38</v>
      </c>
      <c r="P576" s="12">
        <v>300</v>
      </c>
      <c r="Q576" s="12" t="s">
        <v>281</v>
      </c>
      <c r="R576" s="12" t="s">
        <v>68</v>
      </c>
      <c r="S576" s="12" t="s">
        <v>275</v>
      </c>
      <c r="T576" s="12" t="s">
        <v>160</v>
      </c>
      <c r="U576" s="12" t="s">
        <v>160</v>
      </c>
      <c r="V576" s="12"/>
      <c r="W576" s="12"/>
      <c r="X576" s="12"/>
      <c r="Y576" s="12"/>
      <c r="Z576" s="12"/>
      <c r="AA576" s="12"/>
      <c r="AB576" s="12"/>
      <c r="AC576" s="12" t="str">
        <f>Table1[[#This Row],[City or Community (Solano County)]]</f>
        <v>Rio Vista</v>
      </c>
      <c r="AD576" s="12">
        <f>COUNTIF(I:I,Table1[[#This Row],[City or Community (Solano County)]])</f>
        <v>1</v>
      </c>
      <c r="AE576" s="12" t="str">
        <f>Table1[[#This Row],[Please select your county]]</f>
        <v>Solano County</v>
      </c>
      <c r="AF576" s="41">
        <f>COUNTIF(AE:AE,Table1[[#This Row],[County]])</f>
        <v>18</v>
      </c>
      <c r="AG576" s="12">
        <v>2025</v>
      </c>
    </row>
    <row r="577" spans="1:33" ht="15.5" x14ac:dyDescent="0.35">
      <c r="A577" s="12">
        <v>175</v>
      </c>
      <c r="B577" s="12" t="s">
        <v>153</v>
      </c>
      <c r="C577" s="12"/>
      <c r="D577" s="12"/>
      <c r="E577" s="12"/>
      <c r="F577" s="12"/>
      <c r="G577" s="12"/>
      <c r="H577" s="12"/>
      <c r="I577" s="12"/>
      <c r="J577" s="12" t="s">
        <v>418</v>
      </c>
      <c r="K577" s="10" t="s">
        <v>274</v>
      </c>
      <c r="L577" s="10"/>
      <c r="M577" s="10"/>
      <c r="N577" s="10"/>
      <c r="O577" s="12" t="s">
        <v>38</v>
      </c>
      <c r="P577" s="12">
        <v>480</v>
      </c>
      <c r="Q577" s="12" t="s">
        <v>281</v>
      </c>
      <c r="R577" s="12" t="s">
        <v>68</v>
      </c>
      <c r="S577" s="12" t="s">
        <v>276</v>
      </c>
      <c r="T577" s="12" t="s">
        <v>160</v>
      </c>
      <c r="U577" s="12" t="s">
        <v>160</v>
      </c>
      <c r="V577" s="12"/>
      <c r="W577" s="12"/>
      <c r="X577" s="12"/>
      <c r="Y577" s="12"/>
      <c r="Z577" s="12"/>
      <c r="AA577" s="12"/>
      <c r="AB577" s="12"/>
      <c r="AC577" s="12" t="str">
        <f>Table1[[#This Row],[City or Community (Sonoma County)]]</f>
        <v>Unincorporated Sonoma County</v>
      </c>
      <c r="AD577" s="12">
        <f>COUNTIF(J:J,Table1[[#This Row],[City or Community (Sonoma County)]])</f>
        <v>16</v>
      </c>
      <c r="AE577" s="12" t="str">
        <f>Table1[[#This Row],[Please select your county]]</f>
        <v>Sonoma County</v>
      </c>
      <c r="AF577" s="41">
        <f>COUNTIF(AE:AE,Table1[[#This Row],[County]])</f>
        <v>30</v>
      </c>
      <c r="AG577" s="12">
        <v>2025</v>
      </c>
    </row>
    <row r="578" spans="1:33" ht="31" x14ac:dyDescent="0.35">
      <c r="A578" s="12">
        <v>196</v>
      </c>
      <c r="B578" s="12" t="s">
        <v>153</v>
      </c>
      <c r="C578" s="12"/>
      <c r="D578" s="12"/>
      <c r="E578" s="12"/>
      <c r="F578" s="12"/>
      <c r="G578" s="12"/>
      <c r="H578" s="12"/>
      <c r="I578" s="12"/>
      <c r="J578" s="12" t="s">
        <v>418</v>
      </c>
      <c r="K578" s="10" t="s">
        <v>419</v>
      </c>
      <c r="L578" s="10"/>
      <c r="M578" s="10"/>
      <c r="N578" s="10"/>
      <c r="O578" s="12" t="s">
        <v>38</v>
      </c>
      <c r="P578" s="12">
        <v>480</v>
      </c>
      <c r="Q578" s="12" t="s">
        <v>281</v>
      </c>
      <c r="R578" s="12" t="s">
        <v>70</v>
      </c>
      <c r="S578" s="12" t="s">
        <v>275</v>
      </c>
      <c r="T578" s="12" t="s">
        <v>160</v>
      </c>
      <c r="U578" s="12" t="s">
        <v>159</v>
      </c>
      <c r="V578" s="12" t="s">
        <v>163</v>
      </c>
      <c r="W578" s="12" t="s">
        <v>299</v>
      </c>
      <c r="X578" s="12"/>
      <c r="Y578" s="12" t="s">
        <v>290</v>
      </c>
      <c r="Z578" s="12"/>
      <c r="AA578" s="12" t="s">
        <v>295</v>
      </c>
      <c r="AB578" s="12" t="s">
        <v>165</v>
      </c>
      <c r="AC578" s="12" t="str">
        <f>Table1[[#This Row],[City or Community (Sonoma County)]]</f>
        <v>Unincorporated Sonoma County</v>
      </c>
      <c r="AD578" s="12">
        <f>COUNTIF(J:J,Table1[[#This Row],[City or Community (Sonoma County)]])</f>
        <v>16</v>
      </c>
      <c r="AE578" s="12" t="str">
        <f>Table1[[#This Row],[Please select your county]]</f>
        <v>Sonoma County</v>
      </c>
      <c r="AF578" s="41">
        <f>COUNTIF(AE:AE,Table1[[#This Row],[County]])</f>
        <v>30</v>
      </c>
      <c r="AG578" s="12">
        <v>2025</v>
      </c>
    </row>
    <row r="579" spans="1:33" ht="15.5" x14ac:dyDescent="0.35">
      <c r="A579" s="12">
        <v>212</v>
      </c>
      <c r="B579" s="12" t="s">
        <v>153</v>
      </c>
      <c r="C579" s="12"/>
      <c r="D579" s="12"/>
      <c r="E579" s="12"/>
      <c r="F579" s="12"/>
      <c r="G579" s="12"/>
      <c r="H579" s="12"/>
      <c r="I579" s="12"/>
      <c r="J579" s="12" t="s">
        <v>418</v>
      </c>
      <c r="K579" s="10" t="s">
        <v>274</v>
      </c>
      <c r="L579" s="10"/>
      <c r="M579" s="10"/>
      <c r="N579" s="10"/>
      <c r="O579" s="12" t="s">
        <v>38</v>
      </c>
      <c r="P579" s="12">
        <v>500</v>
      </c>
      <c r="Q579" s="12" t="s">
        <v>281</v>
      </c>
      <c r="R579" s="12" t="s">
        <v>79</v>
      </c>
      <c r="S579" s="12" t="s">
        <v>272</v>
      </c>
      <c r="T579" s="12" t="s">
        <v>83</v>
      </c>
      <c r="U579" s="12" t="s">
        <v>160</v>
      </c>
      <c r="V579" s="12"/>
      <c r="W579" s="12"/>
      <c r="X579" s="12"/>
      <c r="Y579" s="12"/>
      <c r="Z579" s="12"/>
      <c r="AA579" s="12"/>
      <c r="AB579" s="12"/>
      <c r="AC579" s="12" t="str">
        <f>Table1[[#This Row],[City or Community (Sonoma County)]]</f>
        <v>Unincorporated Sonoma County</v>
      </c>
      <c r="AD579" s="12">
        <f>COUNTIF(J:J,Table1[[#This Row],[City or Community (Sonoma County)]])</f>
        <v>16</v>
      </c>
      <c r="AE579" s="12" t="str">
        <f>Table1[[#This Row],[Please select your county]]</f>
        <v>Sonoma County</v>
      </c>
      <c r="AF579" s="41">
        <f>COUNTIF(AE:AE,Table1[[#This Row],[County]])</f>
        <v>30</v>
      </c>
      <c r="AG579" s="12">
        <v>2025</v>
      </c>
    </row>
    <row r="580" spans="1:33" ht="15.5" x14ac:dyDescent="0.35">
      <c r="A580" s="12">
        <v>191</v>
      </c>
      <c r="B580" s="12" t="s">
        <v>153</v>
      </c>
      <c r="C580" s="12"/>
      <c r="D580" s="12"/>
      <c r="E580" s="12"/>
      <c r="F580" s="12"/>
      <c r="G580" s="12"/>
      <c r="H580" s="12"/>
      <c r="I580" s="12"/>
      <c r="J580" s="12" t="s">
        <v>418</v>
      </c>
      <c r="K580" s="10" t="s">
        <v>267</v>
      </c>
      <c r="L580" s="10"/>
      <c r="M580" s="10"/>
      <c r="N580" s="10"/>
      <c r="O580" s="12" t="s">
        <v>38</v>
      </c>
      <c r="P580" s="12">
        <v>525</v>
      </c>
      <c r="Q580" s="12" t="s">
        <v>281</v>
      </c>
      <c r="R580" s="12" t="s">
        <v>72</v>
      </c>
      <c r="S580" s="12" t="s">
        <v>276</v>
      </c>
      <c r="T580" s="12" t="s">
        <v>83</v>
      </c>
      <c r="U580" s="12" t="s">
        <v>160</v>
      </c>
      <c r="V580" s="12"/>
      <c r="W580" s="12"/>
      <c r="X580" s="12"/>
      <c r="Y580" s="12"/>
      <c r="Z580" s="12"/>
      <c r="AA580" s="12"/>
      <c r="AB580" s="12"/>
      <c r="AC580" s="12" t="str">
        <f>Table1[[#This Row],[City or Community (Sonoma County)]]</f>
        <v>Unincorporated Sonoma County</v>
      </c>
      <c r="AD580" s="12">
        <f>COUNTIF(J:J,Table1[[#This Row],[City or Community (Sonoma County)]])</f>
        <v>16</v>
      </c>
      <c r="AE580" s="12" t="str">
        <f>Table1[[#This Row],[Please select your county]]</f>
        <v>Sonoma County</v>
      </c>
      <c r="AF580" s="41">
        <f>COUNTIF(AE:AE,Table1[[#This Row],[County]])</f>
        <v>30</v>
      </c>
      <c r="AG580" s="12">
        <v>2025</v>
      </c>
    </row>
    <row r="581" spans="1:33" ht="15.5" x14ac:dyDescent="0.35">
      <c r="A581" s="12">
        <v>197</v>
      </c>
      <c r="B581" s="12" t="s">
        <v>153</v>
      </c>
      <c r="C581" s="12"/>
      <c r="D581" s="12"/>
      <c r="E581" s="12"/>
      <c r="F581" s="12"/>
      <c r="G581" s="12"/>
      <c r="H581" s="12"/>
      <c r="I581" s="12"/>
      <c r="J581" s="12" t="s">
        <v>418</v>
      </c>
      <c r="K581" s="10" t="s">
        <v>294</v>
      </c>
      <c r="L581" s="10"/>
      <c r="M581" s="10"/>
      <c r="N581" s="10"/>
      <c r="O581" s="12" t="s">
        <v>38</v>
      </c>
      <c r="P581" s="12">
        <v>600</v>
      </c>
      <c r="Q581" s="12" t="s">
        <v>281</v>
      </c>
      <c r="R581" s="12" t="s">
        <v>165</v>
      </c>
      <c r="S581" s="12" t="s">
        <v>276</v>
      </c>
      <c r="T581" s="12" t="s">
        <v>83</v>
      </c>
      <c r="U581" s="12" t="s">
        <v>159</v>
      </c>
      <c r="V581" s="12" t="s">
        <v>163</v>
      </c>
      <c r="W581" s="12" t="s">
        <v>289</v>
      </c>
      <c r="X581" s="12"/>
      <c r="Y581" s="12" t="s">
        <v>290</v>
      </c>
      <c r="Z581" s="12"/>
      <c r="AA581" s="12" t="s">
        <v>295</v>
      </c>
      <c r="AB581" s="12" t="s">
        <v>165</v>
      </c>
      <c r="AC581" s="12" t="str">
        <f>Table1[[#This Row],[City or Community (Sonoma County)]]</f>
        <v>Unincorporated Sonoma County</v>
      </c>
      <c r="AD581" s="12">
        <f>COUNTIF(J:J,Table1[[#This Row],[City or Community (Sonoma County)]])</f>
        <v>16</v>
      </c>
      <c r="AE581" s="12" t="str">
        <f>Table1[[#This Row],[Please select your county]]</f>
        <v>Sonoma County</v>
      </c>
      <c r="AF581" s="41">
        <f>COUNTIF(AE:AE,Table1[[#This Row],[County]])</f>
        <v>30</v>
      </c>
      <c r="AG581" s="12">
        <v>2025</v>
      </c>
    </row>
    <row r="582" spans="1:33" ht="15.5" x14ac:dyDescent="0.35">
      <c r="A582" s="12">
        <v>204</v>
      </c>
      <c r="B582" s="12" t="s">
        <v>153</v>
      </c>
      <c r="C582" s="12"/>
      <c r="D582" s="12"/>
      <c r="E582" s="12"/>
      <c r="F582" s="12"/>
      <c r="G582" s="12"/>
      <c r="H582" s="12"/>
      <c r="I582" s="12"/>
      <c r="J582" s="12" t="s">
        <v>418</v>
      </c>
      <c r="K582" s="10" t="s">
        <v>267</v>
      </c>
      <c r="L582" s="10"/>
      <c r="M582" s="10"/>
      <c r="N582" s="10"/>
      <c r="O582" s="12" t="s">
        <v>38</v>
      </c>
      <c r="P582" s="12">
        <v>684</v>
      </c>
      <c r="Q582" s="12" t="s">
        <v>281</v>
      </c>
      <c r="R582" s="12" t="s">
        <v>71</v>
      </c>
      <c r="S582" s="12" t="s">
        <v>275</v>
      </c>
      <c r="T582" s="12" t="s">
        <v>83</v>
      </c>
      <c r="U582" s="12" t="s">
        <v>159</v>
      </c>
      <c r="V582" s="12" t="s">
        <v>164</v>
      </c>
      <c r="W582" s="12" t="s">
        <v>420</v>
      </c>
      <c r="X582" s="12"/>
      <c r="Y582" s="12" t="s">
        <v>290</v>
      </c>
      <c r="Z582" s="12"/>
      <c r="AA582" s="12" t="s">
        <v>295</v>
      </c>
      <c r="AB582" s="12" t="s">
        <v>165</v>
      </c>
      <c r="AC582" s="12" t="str">
        <f>Table1[[#This Row],[City or Community (Sonoma County)]]</f>
        <v>Unincorporated Sonoma County</v>
      </c>
      <c r="AD582" s="12">
        <f>COUNTIF(J:J,Table1[[#This Row],[City or Community (Sonoma County)]])</f>
        <v>16</v>
      </c>
      <c r="AE582" s="12" t="str">
        <f>Table1[[#This Row],[Please select your county]]</f>
        <v>Sonoma County</v>
      </c>
      <c r="AF582" s="41">
        <f>COUNTIF(AE:AE,Table1[[#This Row],[County]])</f>
        <v>30</v>
      </c>
      <c r="AG582" s="12">
        <v>2025</v>
      </c>
    </row>
    <row r="583" spans="1:33" ht="15.5" x14ac:dyDescent="0.35">
      <c r="A583" s="12">
        <v>208</v>
      </c>
      <c r="B583" s="12" t="s">
        <v>153</v>
      </c>
      <c r="C583" s="12"/>
      <c r="D583" s="12"/>
      <c r="E583" s="12"/>
      <c r="F583" s="12"/>
      <c r="G583" s="12"/>
      <c r="H583" s="12"/>
      <c r="I583" s="12"/>
      <c r="J583" s="12" t="s">
        <v>418</v>
      </c>
      <c r="K583" s="10" t="s">
        <v>294</v>
      </c>
      <c r="L583" s="10"/>
      <c r="M583" s="10"/>
      <c r="N583" s="10"/>
      <c r="O583" s="12" t="s">
        <v>38</v>
      </c>
      <c r="P583" s="12">
        <v>700</v>
      </c>
      <c r="Q583" s="12" t="s">
        <v>281</v>
      </c>
      <c r="R583" s="12" t="s">
        <v>79</v>
      </c>
      <c r="S583" s="12" t="s">
        <v>272</v>
      </c>
      <c r="T583" s="12" t="s">
        <v>83</v>
      </c>
      <c r="U583" s="12" t="s">
        <v>159</v>
      </c>
      <c r="V583" s="12" t="s">
        <v>162</v>
      </c>
      <c r="W583" s="12" t="s">
        <v>289</v>
      </c>
      <c r="X583" s="12"/>
      <c r="Y583" s="12" t="s">
        <v>290</v>
      </c>
      <c r="Z583" s="12"/>
      <c r="AA583" s="12" t="s">
        <v>295</v>
      </c>
      <c r="AB583" s="12" t="s">
        <v>190</v>
      </c>
      <c r="AC583" s="12" t="str">
        <f>Table1[[#This Row],[City or Community (Sonoma County)]]</f>
        <v>Unincorporated Sonoma County</v>
      </c>
      <c r="AD583" s="12">
        <f>COUNTIF(J:J,Table1[[#This Row],[City or Community (Sonoma County)]])</f>
        <v>16</v>
      </c>
      <c r="AE583" s="12" t="str">
        <f>Table1[[#This Row],[Please select your county]]</f>
        <v>Sonoma County</v>
      </c>
      <c r="AF583" s="41">
        <f>COUNTIF(AE:AE,Table1[[#This Row],[County]])</f>
        <v>30</v>
      </c>
      <c r="AG583" s="12">
        <v>2025</v>
      </c>
    </row>
    <row r="584" spans="1:33" ht="15.5" x14ac:dyDescent="0.35">
      <c r="A584" s="12">
        <v>209</v>
      </c>
      <c r="B584" s="12" t="s">
        <v>153</v>
      </c>
      <c r="C584" s="12"/>
      <c r="D584" s="12"/>
      <c r="E584" s="12"/>
      <c r="F584" s="12"/>
      <c r="G584" s="12"/>
      <c r="H584" s="12"/>
      <c r="I584" s="12"/>
      <c r="J584" s="12" t="s">
        <v>418</v>
      </c>
      <c r="K584" s="10" t="s">
        <v>294</v>
      </c>
      <c r="L584" s="10"/>
      <c r="M584" s="10"/>
      <c r="N584" s="10"/>
      <c r="O584" s="12" t="s">
        <v>38</v>
      </c>
      <c r="P584" s="12">
        <v>700</v>
      </c>
      <c r="Q584" s="12" t="s">
        <v>281</v>
      </c>
      <c r="R584" s="12" t="s">
        <v>79</v>
      </c>
      <c r="S584" s="12" t="s">
        <v>272</v>
      </c>
      <c r="T584" s="12" t="s">
        <v>83</v>
      </c>
      <c r="U584" s="12" t="s">
        <v>159</v>
      </c>
      <c r="V584" s="12" t="s">
        <v>162</v>
      </c>
      <c r="W584" s="12" t="s">
        <v>289</v>
      </c>
      <c r="X584" s="12"/>
      <c r="Y584" s="12" t="s">
        <v>290</v>
      </c>
      <c r="Z584" s="12"/>
      <c r="AA584" s="12" t="s">
        <v>295</v>
      </c>
      <c r="AB584" s="12" t="s">
        <v>190</v>
      </c>
      <c r="AC584" s="12" t="str">
        <f>Table1[[#This Row],[City or Community (Sonoma County)]]</f>
        <v>Unincorporated Sonoma County</v>
      </c>
      <c r="AD584" s="12">
        <f>COUNTIF(J:J,Table1[[#This Row],[City or Community (Sonoma County)]])</f>
        <v>16</v>
      </c>
      <c r="AE584" s="12" t="str">
        <f>Table1[[#This Row],[Please select your county]]</f>
        <v>Sonoma County</v>
      </c>
      <c r="AF584" s="41">
        <f>COUNTIF(AE:AE,Table1[[#This Row],[County]])</f>
        <v>30</v>
      </c>
      <c r="AG584" s="12">
        <v>2025</v>
      </c>
    </row>
    <row r="585" spans="1:33" ht="15.5" x14ac:dyDescent="0.35">
      <c r="A585" s="12">
        <v>201</v>
      </c>
      <c r="B585" s="12" t="s">
        <v>153</v>
      </c>
      <c r="C585" s="12"/>
      <c r="D585" s="12"/>
      <c r="E585" s="12"/>
      <c r="F585" s="12"/>
      <c r="G585" s="12"/>
      <c r="H585" s="12"/>
      <c r="I585" s="12"/>
      <c r="J585" s="12" t="s">
        <v>418</v>
      </c>
      <c r="K585" s="10" t="s">
        <v>321</v>
      </c>
      <c r="L585" s="10"/>
      <c r="M585" s="10"/>
      <c r="N585" s="10"/>
      <c r="O585" s="12" t="s">
        <v>38</v>
      </c>
      <c r="P585" s="12">
        <v>800</v>
      </c>
      <c r="Q585" s="12" t="s">
        <v>281</v>
      </c>
      <c r="R585" s="12" t="s">
        <v>79</v>
      </c>
      <c r="S585" s="12" t="s">
        <v>272</v>
      </c>
      <c r="T585" s="12" t="s">
        <v>160</v>
      </c>
      <c r="U585" s="12" t="s">
        <v>160</v>
      </c>
      <c r="V585" s="12"/>
      <c r="W585" s="12"/>
      <c r="X585" s="12"/>
      <c r="Y585" s="12"/>
      <c r="Z585" s="12"/>
      <c r="AA585" s="12"/>
      <c r="AB585" s="12"/>
      <c r="AC585" s="12" t="str">
        <f>Table1[[#This Row],[City or Community (Sonoma County)]]</f>
        <v>Unincorporated Sonoma County</v>
      </c>
      <c r="AD585" s="12">
        <f>COUNTIF(J:J,Table1[[#This Row],[City or Community (Sonoma County)]])</f>
        <v>16</v>
      </c>
      <c r="AE585" s="12" t="str">
        <f>Table1[[#This Row],[Please select your county]]</f>
        <v>Sonoma County</v>
      </c>
      <c r="AF585" s="41">
        <f>COUNTIF(AE:AE,Table1[[#This Row],[County]])</f>
        <v>30</v>
      </c>
      <c r="AG585" s="12">
        <v>2025</v>
      </c>
    </row>
    <row r="586" spans="1:33" ht="15.5" x14ac:dyDescent="0.35">
      <c r="A586" s="12">
        <v>188</v>
      </c>
      <c r="B586" s="12" t="s">
        <v>153</v>
      </c>
      <c r="C586" s="12"/>
      <c r="D586" s="12"/>
      <c r="E586" s="12"/>
      <c r="F586" s="12"/>
      <c r="G586" s="12"/>
      <c r="H586" s="12"/>
      <c r="I586" s="12"/>
      <c r="J586" s="12" t="s">
        <v>418</v>
      </c>
      <c r="K586" s="10" t="s">
        <v>267</v>
      </c>
      <c r="L586" s="10"/>
      <c r="M586" s="10"/>
      <c r="N586" s="10"/>
      <c r="O586" s="12" t="s">
        <v>38</v>
      </c>
      <c r="P586" s="12">
        <v>900</v>
      </c>
      <c r="Q586" s="12" t="s">
        <v>281</v>
      </c>
      <c r="R586" s="12" t="s">
        <v>71</v>
      </c>
      <c r="S586" s="12" t="s">
        <v>298</v>
      </c>
      <c r="T586" s="12" t="s">
        <v>160</v>
      </c>
      <c r="U586" s="12" t="s">
        <v>159</v>
      </c>
      <c r="V586" s="12" t="s">
        <v>164</v>
      </c>
      <c r="W586" s="12" t="s">
        <v>289</v>
      </c>
      <c r="X586" s="12"/>
      <c r="Y586" s="12" t="s">
        <v>290</v>
      </c>
      <c r="Z586" s="12"/>
      <c r="AA586" s="12" t="s">
        <v>295</v>
      </c>
      <c r="AB586" s="12" t="s">
        <v>190</v>
      </c>
      <c r="AC586" s="12" t="str">
        <f>Table1[[#This Row],[City or Community (Sonoma County)]]</f>
        <v>Unincorporated Sonoma County</v>
      </c>
      <c r="AD586" s="12">
        <f>COUNTIF(J:J,Table1[[#This Row],[City or Community (Sonoma County)]])</f>
        <v>16</v>
      </c>
      <c r="AE586" s="12" t="str">
        <f>Table1[[#This Row],[Please select your county]]</f>
        <v>Sonoma County</v>
      </c>
      <c r="AF586" s="41">
        <f>COUNTIF(AE:AE,Table1[[#This Row],[County]])</f>
        <v>30</v>
      </c>
      <c r="AG586" s="12">
        <v>2025</v>
      </c>
    </row>
    <row r="587" spans="1:33" ht="15.5" x14ac:dyDescent="0.35">
      <c r="A587" s="12">
        <v>195</v>
      </c>
      <c r="B587" s="12" t="s">
        <v>153</v>
      </c>
      <c r="C587" s="12"/>
      <c r="D587" s="12"/>
      <c r="E587" s="12"/>
      <c r="F587" s="12"/>
      <c r="G587" s="12"/>
      <c r="H587" s="12"/>
      <c r="I587" s="12"/>
      <c r="J587" s="12" t="s">
        <v>418</v>
      </c>
      <c r="K587" s="10" t="s">
        <v>267</v>
      </c>
      <c r="L587" s="10"/>
      <c r="M587" s="10"/>
      <c r="N587" s="10"/>
      <c r="O587" s="12" t="s">
        <v>38</v>
      </c>
      <c r="P587" s="12">
        <v>900</v>
      </c>
      <c r="Q587" s="12" t="s">
        <v>281</v>
      </c>
      <c r="R587" s="12" t="s">
        <v>71</v>
      </c>
      <c r="S587" s="12" t="s">
        <v>298</v>
      </c>
      <c r="T587" s="12" t="s">
        <v>160</v>
      </c>
      <c r="U587" s="12" t="s">
        <v>160</v>
      </c>
      <c r="V587" s="12"/>
      <c r="W587" s="12"/>
      <c r="X587" s="12"/>
      <c r="Y587" s="12"/>
      <c r="Z587" s="12"/>
      <c r="AA587" s="12"/>
      <c r="AB587" s="12"/>
      <c r="AC587" s="12" t="str">
        <f>Table1[[#This Row],[City or Community (Sonoma County)]]</f>
        <v>Unincorporated Sonoma County</v>
      </c>
      <c r="AD587" s="12">
        <f>COUNTIF(J:J,Table1[[#This Row],[City or Community (Sonoma County)]])</f>
        <v>16</v>
      </c>
      <c r="AE587" s="12" t="str">
        <f>Table1[[#This Row],[Please select your county]]</f>
        <v>Sonoma County</v>
      </c>
      <c r="AF587" s="41">
        <f>COUNTIF(AE:AE,Table1[[#This Row],[County]])</f>
        <v>30</v>
      </c>
      <c r="AG587" s="12">
        <v>2025</v>
      </c>
    </row>
    <row r="588" spans="1:33" ht="15.5" x14ac:dyDescent="0.35">
      <c r="A588" s="12">
        <v>194</v>
      </c>
      <c r="B588" s="12" t="s">
        <v>153</v>
      </c>
      <c r="C588" s="12"/>
      <c r="D588" s="12"/>
      <c r="E588" s="12"/>
      <c r="F588" s="12"/>
      <c r="G588" s="12"/>
      <c r="H588" s="12"/>
      <c r="I588" s="12"/>
      <c r="J588" s="12" t="s">
        <v>418</v>
      </c>
      <c r="K588" s="10" t="s">
        <v>267</v>
      </c>
      <c r="L588" s="10"/>
      <c r="M588" s="10"/>
      <c r="N588" s="10"/>
      <c r="O588" s="12" t="s">
        <v>38</v>
      </c>
      <c r="P588" s="12">
        <v>960</v>
      </c>
      <c r="Q588" s="12" t="s">
        <v>281</v>
      </c>
      <c r="R588" s="12" t="s">
        <v>71</v>
      </c>
      <c r="S588" s="12" t="s">
        <v>275</v>
      </c>
      <c r="T588" s="12" t="s">
        <v>160</v>
      </c>
      <c r="U588" s="12" t="s">
        <v>160</v>
      </c>
      <c r="V588" s="12"/>
      <c r="W588" s="12"/>
      <c r="X588" s="12"/>
      <c r="Y588" s="12"/>
      <c r="Z588" s="12"/>
      <c r="AA588" s="12"/>
      <c r="AB588" s="12"/>
      <c r="AC588" s="12" t="str">
        <f>Table1[[#This Row],[City or Community (Sonoma County)]]</f>
        <v>Unincorporated Sonoma County</v>
      </c>
      <c r="AD588" s="12">
        <f>COUNTIF(J:J,Table1[[#This Row],[City or Community (Sonoma County)]])</f>
        <v>16</v>
      </c>
      <c r="AE588" s="12" t="str">
        <f>Table1[[#This Row],[Please select your county]]</f>
        <v>Sonoma County</v>
      </c>
      <c r="AF588" s="41">
        <f>COUNTIF(AE:AE,Table1[[#This Row],[County]])</f>
        <v>30</v>
      </c>
      <c r="AG588" s="12">
        <v>2025</v>
      </c>
    </row>
    <row r="589" spans="1:33" ht="15.5" x14ac:dyDescent="0.35">
      <c r="A589" s="12">
        <v>187</v>
      </c>
      <c r="B589" s="12" t="s">
        <v>153</v>
      </c>
      <c r="C589" s="12"/>
      <c r="D589" s="12"/>
      <c r="E589" s="12"/>
      <c r="F589" s="12"/>
      <c r="G589" s="12"/>
      <c r="H589" s="12"/>
      <c r="I589" s="12"/>
      <c r="J589" s="12" t="s">
        <v>418</v>
      </c>
      <c r="K589" s="10" t="s">
        <v>294</v>
      </c>
      <c r="L589" s="10"/>
      <c r="M589" s="10"/>
      <c r="N589" s="10"/>
      <c r="O589" s="12" t="s">
        <v>38</v>
      </c>
      <c r="P589" s="12">
        <v>1000</v>
      </c>
      <c r="Q589" s="12" t="s">
        <v>281</v>
      </c>
      <c r="R589" s="12" t="s">
        <v>79</v>
      </c>
      <c r="S589" s="12" t="s">
        <v>275</v>
      </c>
      <c r="T589" s="12" t="s">
        <v>160</v>
      </c>
      <c r="U589" s="12" t="s">
        <v>159</v>
      </c>
      <c r="V589" s="12" t="s">
        <v>164</v>
      </c>
      <c r="W589" s="12" t="s">
        <v>289</v>
      </c>
      <c r="X589" s="12"/>
      <c r="Y589" s="12" t="s">
        <v>290</v>
      </c>
      <c r="Z589" s="12"/>
      <c r="AA589" s="12" t="s">
        <v>281</v>
      </c>
      <c r="AB589" s="12" t="s">
        <v>186</v>
      </c>
      <c r="AC589" s="12" t="str">
        <f>Table1[[#This Row],[City or Community (Sonoma County)]]</f>
        <v>Unincorporated Sonoma County</v>
      </c>
      <c r="AD589" s="12">
        <f>COUNTIF(J:J,Table1[[#This Row],[City or Community (Sonoma County)]])</f>
        <v>16</v>
      </c>
      <c r="AE589" s="12" t="str">
        <f>Table1[[#This Row],[Please select your county]]</f>
        <v>Sonoma County</v>
      </c>
      <c r="AF589" s="41">
        <f>COUNTIF(AE:AE,Table1[[#This Row],[County]])</f>
        <v>30</v>
      </c>
      <c r="AG589" s="12">
        <v>2025</v>
      </c>
    </row>
    <row r="590" spans="1:33" ht="15.5" x14ac:dyDescent="0.35">
      <c r="A590" s="12">
        <v>216</v>
      </c>
      <c r="B590" s="12" t="s">
        <v>153</v>
      </c>
      <c r="C590" s="12"/>
      <c r="D590" s="12"/>
      <c r="E590" s="12"/>
      <c r="F590" s="12"/>
      <c r="G590" s="12"/>
      <c r="H590" s="12"/>
      <c r="I590" s="12"/>
      <c r="J590" s="12" t="s">
        <v>418</v>
      </c>
      <c r="K590" s="10" t="s">
        <v>274</v>
      </c>
      <c r="L590" s="10"/>
      <c r="M590" s="10"/>
      <c r="N590" s="10"/>
      <c r="O590" s="12" t="s">
        <v>38</v>
      </c>
      <c r="P590" s="12">
        <v>1173</v>
      </c>
      <c r="Q590" s="12" t="s">
        <v>295</v>
      </c>
      <c r="R590" s="12" t="s">
        <v>165</v>
      </c>
      <c r="S590" s="12" t="s">
        <v>272</v>
      </c>
      <c r="T590" s="12" t="s">
        <v>83</v>
      </c>
      <c r="U590" s="12" t="s">
        <v>160</v>
      </c>
      <c r="V590" s="12"/>
      <c r="W590" s="12"/>
      <c r="X590" s="12"/>
      <c r="Y590" s="12"/>
      <c r="Z590" s="12"/>
      <c r="AA590" s="12"/>
      <c r="AB590" s="12"/>
      <c r="AC590" s="12" t="str">
        <f>Table1[[#This Row],[City or Community (Sonoma County)]]</f>
        <v>Unincorporated Sonoma County</v>
      </c>
      <c r="AD590" s="12">
        <f>COUNTIF(J:J,Table1[[#This Row],[City or Community (Sonoma County)]])</f>
        <v>16</v>
      </c>
      <c r="AE590" s="12" t="str">
        <f>Table1[[#This Row],[Please select your county]]</f>
        <v>Sonoma County</v>
      </c>
      <c r="AF590" s="41">
        <f>COUNTIF(AE:AE,Table1[[#This Row],[County]])</f>
        <v>30</v>
      </c>
      <c r="AG590" s="12">
        <v>2025</v>
      </c>
    </row>
    <row r="591" spans="1:33" ht="15.5" x14ac:dyDescent="0.35">
      <c r="A591" s="12">
        <v>186</v>
      </c>
      <c r="B591" s="12" t="s">
        <v>153</v>
      </c>
      <c r="C591" s="12"/>
      <c r="D591" s="12"/>
      <c r="E591" s="12"/>
      <c r="F591" s="12"/>
      <c r="G591" s="12"/>
      <c r="H591" s="12"/>
      <c r="I591" s="12"/>
      <c r="J591" s="12" t="s">
        <v>418</v>
      </c>
      <c r="K591" s="10" t="s">
        <v>274</v>
      </c>
      <c r="L591" s="10"/>
      <c r="M591" s="10"/>
      <c r="N591" s="10"/>
      <c r="O591" s="12" t="s">
        <v>38</v>
      </c>
      <c r="P591" s="12">
        <v>1176</v>
      </c>
      <c r="Q591" s="12" t="s">
        <v>295</v>
      </c>
      <c r="R591" s="12" t="s">
        <v>70</v>
      </c>
      <c r="S591" s="12" t="s">
        <v>272</v>
      </c>
      <c r="T591" s="12" t="s">
        <v>83</v>
      </c>
      <c r="U591" s="12" t="s">
        <v>160</v>
      </c>
      <c r="V591" s="12"/>
      <c r="W591" s="12"/>
      <c r="X591" s="12"/>
      <c r="Y591" s="12"/>
      <c r="Z591" s="12"/>
      <c r="AA591" s="12"/>
      <c r="AB591" s="12"/>
      <c r="AC591" s="12" t="str">
        <f>Table1[[#This Row],[City or Community (Sonoma County)]]</f>
        <v>Unincorporated Sonoma County</v>
      </c>
      <c r="AD591" s="12">
        <f>COUNTIF(J:J,Table1[[#This Row],[City or Community (Sonoma County)]])</f>
        <v>16</v>
      </c>
      <c r="AE591" s="12" t="str">
        <f>Table1[[#This Row],[Please select your county]]</f>
        <v>Sonoma County</v>
      </c>
      <c r="AF591" s="41">
        <f>COUNTIF(AE:AE,Table1[[#This Row],[County]])</f>
        <v>30</v>
      </c>
      <c r="AG591" s="12">
        <v>2025</v>
      </c>
    </row>
    <row r="592" spans="1:33" ht="15.5" x14ac:dyDescent="0.35">
      <c r="A592" s="12">
        <v>203</v>
      </c>
      <c r="B592" s="12" t="s">
        <v>153</v>
      </c>
      <c r="C592" s="12"/>
      <c r="D592" s="12"/>
      <c r="E592" s="12"/>
      <c r="F592" s="12"/>
      <c r="G592" s="12"/>
      <c r="H592" s="12"/>
      <c r="I592" s="12"/>
      <c r="J592" s="12" t="s">
        <v>418</v>
      </c>
      <c r="K592" s="10" t="s">
        <v>274</v>
      </c>
      <c r="L592" s="10"/>
      <c r="M592" s="10"/>
      <c r="N592" s="10"/>
      <c r="O592" s="12" t="s">
        <v>38</v>
      </c>
      <c r="P592" s="12">
        <v>1176</v>
      </c>
      <c r="Q592" s="12" t="s">
        <v>295</v>
      </c>
      <c r="R592" s="12" t="s">
        <v>70</v>
      </c>
      <c r="S592" s="12" t="s">
        <v>272</v>
      </c>
      <c r="T592" s="12" t="s">
        <v>83</v>
      </c>
      <c r="U592" s="12" t="s">
        <v>160</v>
      </c>
      <c r="V592" s="12"/>
      <c r="W592" s="12"/>
      <c r="X592" s="12"/>
      <c r="Y592" s="12"/>
      <c r="Z592" s="12"/>
      <c r="AA592" s="12"/>
      <c r="AB592" s="12"/>
      <c r="AC592" s="12" t="str">
        <f>Table1[[#This Row],[City or Community (Sonoma County)]]</f>
        <v>Unincorporated Sonoma County</v>
      </c>
      <c r="AD592" s="12">
        <f>COUNTIF(J:J,Table1[[#This Row],[City or Community (Sonoma County)]])</f>
        <v>16</v>
      </c>
      <c r="AE592" s="12" t="str">
        <f>Table1[[#This Row],[Please select your county]]</f>
        <v>Sonoma County</v>
      </c>
      <c r="AF592" s="41">
        <f>COUNTIF(AE:AE,Table1[[#This Row],[County]])</f>
        <v>30</v>
      </c>
      <c r="AG592" s="12">
        <v>2025</v>
      </c>
    </row>
    <row r="593" spans="1:33" ht="15.5" x14ac:dyDescent="0.35">
      <c r="A593" s="12">
        <v>185</v>
      </c>
      <c r="B593" s="12" t="s">
        <v>153</v>
      </c>
      <c r="C593" s="12"/>
      <c r="D593" s="12"/>
      <c r="E593" s="12"/>
      <c r="F593" s="12"/>
      <c r="G593" s="12"/>
      <c r="H593" s="12"/>
      <c r="I593" s="12"/>
      <c r="J593" s="12" t="s">
        <v>421</v>
      </c>
      <c r="K593" s="10" t="s">
        <v>267</v>
      </c>
      <c r="L593" s="10"/>
      <c r="M593" s="10"/>
      <c r="N593" s="10"/>
      <c r="O593" s="12" t="s">
        <v>38</v>
      </c>
      <c r="P593" s="12">
        <v>585</v>
      </c>
      <c r="Q593" s="12" t="s">
        <v>281</v>
      </c>
      <c r="R593" s="12" t="s">
        <v>69</v>
      </c>
      <c r="S593" s="12" t="s">
        <v>305</v>
      </c>
      <c r="T593" s="12" t="s">
        <v>83</v>
      </c>
      <c r="U593" s="12" t="s">
        <v>159</v>
      </c>
      <c r="V593" s="12" t="s">
        <v>164</v>
      </c>
      <c r="W593" s="12" t="s">
        <v>289</v>
      </c>
      <c r="X593" s="12"/>
      <c r="Y593" s="12" t="s">
        <v>290</v>
      </c>
      <c r="Z593" s="12"/>
      <c r="AA593" s="12" t="s">
        <v>295</v>
      </c>
      <c r="AB593" s="12" t="s">
        <v>165</v>
      </c>
      <c r="AC593" s="12" t="str">
        <f>Table1[[#This Row],[City or Community (Sonoma County)]]</f>
        <v>Petaluma</v>
      </c>
      <c r="AD593" s="12">
        <f>COUNTIF(J:J,Table1[[#This Row],[City or Community (Sonoma County)]])</f>
        <v>5</v>
      </c>
      <c r="AE593" s="12" t="str">
        <f>Table1[[#This Row],[Please select your county]]</f>
        <v>Sonoma County</v>
      </c>
      <c r="AF593" s="41">
        <f>COUNTIF(AE:AE,Table1[[#This Row],[County]])</f>
        <v>30</v>
      </c>
      <c r="AG593" s="12">
        <v>2025</v>
      </c>
    </row>
    <row r="594" spans="1:33" ht="31" x14ac:dyDescent="0.35">
      <c r="A594" s="12">
        <v>202</v>
      </c>
      <c r="B594" s="12" t="s">
        <v>153</v>
      </c>
      <c r="C594" s="12"/>
      <c r="D594" s="12"/>
      <c r="E594" s="12"/>
      <c r="F594" s="12"/>
      <c r="G594" s="12"/>
      <c r="H594" s="12"/>
      <c r="I594" s="12"/>
      <c r="J594" s="12" t="s">
        <v>421</v>
      </c>
      <c r="K594" s="10" t="s">
        <v>331</v>
      </c>
      <c r="L594" s="10"/>
      <c r="M594" s="10"/>
      <c r="N594" s="10"/>
      <c r="O594" s="12" t="s">
        <v>38</v>
      </c>
      <c r="P594" s="12">
        <v>641</v>
      </c>
      <c r="Q594" s="12" t="s">
        <v>281</v>
      </c>
      <c r="R594" s="12" t="s">
        <v>70</v>
      </c>
      <c r="S594" s="12" t="s">
        <v>272</v>
      </c>
      <c r="T594" s="12" t="s">
        <v>83</v>
      </c>
      <c r="U594" s="12" t="s">
        <v>160</v>
      </c>
      <c r="V594" s="12"/>
      <c r="W594" s="12"/>
      <c r="X594" s="12"/>
      <c r="Y594" s="12"/>
      <c r="Z594" s="12"/>
      <c r="AA594" s="12"/>
      <c r="AB594" s="12"/>
      <c r="AC594" s="12" t="str">
        <f>Table1[[#This Row],[City or Community (Sonoma County)]]</f>
        <v>Petaluma</v>
      </c>
      <c r="AD594" s="12">
        <f>COUNTIF(J:J,Table1[[#This Row],[City or Community (Sonoma County)]])</f>
        <v>5</v>
      </c>
      <c r="AE594" s="12" t="str">
        <f>Table1[[#This Row],[Please select your county]]</f>
        <v>Sonoma County</v>
      </c>
      <c r="AF594" s="41">
        <f>COUNTIF(AE:AE,Table1[[#This Row],[County]])</f>
        <v>30</v>
      </c>
      <c r="AG594" s="12">
        <v>2025</v>
      </c>
    </row>
    <row r="595" spans="1:33" ht="15.5" x14ac:dyDescent="0.35">
      <c r="A595" s="12">
        <v>198</v>
      </c>
      <c r="B595" s="12" t="s">
        <v>153</v>
      </c>
      <c r="C595" s="12"/>
      <c r="D595" s="12"/>
      <c r="E595" s="12"/>
      <c r="F595" s="12"/>
      <c r="G595" s="12"/>
      <c r="H595" s="12"/>
      <c r="I595" s="12"/>
      <c r="J595" s="12" t="s">
        <v>421</v>
      </c>
      <c r="K595" s="10" t="s">
        <v>294</v>
      </c>
      <c r="L595" s="10"/>
      <c r="M595" s="10"/>
      <c r="N595" s="10"/>
      <c r="O595" s="12" t="s">
        <v>38</v>
      </c>
      <c r="P595" s="12">
        <v>900</v>
      </c>
      <c r="Q595" s="12" t="s">
        <v>281</v>
      </c>
      <c r="R595" s="12" t="s">
        <v>79</v>
      </c>
      <c r="S595" s="12" t="s">
        <v>276</v>
      </c>
      <c r="T595" s="12" t="s">
        <v>160</v>
      </c>
      <c r="U595" s="12" t="s">
        <v>160</v>
      </c>
      <c r="V595" s="12"/>
      <c r="W595" s="12"/>
      <c r="X595" s="12"/>
      <c r="Y595" s="12"/>
      <c r="Z595" s="12"/>
      <c r="AA595" s="12"/>
      <c r="AB595" s="12"/>
      <c r="AC595" s="12" t="str">
        <f>Table1[[#This Row],[City or Community (Sonoma County)]]</f>
        <v>Petaluma</v>
      </c>
      <c r="AD595" s="12">
        <f>COUNTIF(J:J,Table1[[#This Row],[City or Community (Sonoma County)]])</f>
        <v>5</v>
      </c>
      <c r="AE595" s="12" t="str">
        <f>Table1[[#This Row],[Please select your county]]</f>
        <v>Sonoma County</v>
      </c>
      <c r="AF595" s="41">
        <f>COUNTIF(AE:AE,Table1[[#This Row],[County]])</f>
        <v>30</v>
      </c>
      <c r="AG595" s="12">
        <v>2025</v>
      </c>
    </row>
    <row r="596" spans="1:33" ht="15.5" x14ac:dyDescent="0.35">
      <c r="A596" s="12">
        <v>207</v>
      </c>
      <c r="B596" s="12" t="s">
        <v>153</v>
      </c>
      <c r="C596" s="12"/>
      <c r="D596" s="12"/>
      <c r="E596" s="12"/>
      <c r="F596" s="12"/>
      <c r="G596" s="12"/>
      <c r="H596" s="12"/>
      <c r="I596" s="12"/>
      <c r="J596" s="12" t="s">
        <v>421</v>
      </c>
      <c r="K596" s="10" t="s">
        <v>267</v>
      </c>
      <c r="L596" s="10"/>
      <c r="M596" s="10"/>
      <c r="N596" s="10"/>
      <c r="O596" s="12" t="s">
        <v>38</v>
      </c>
      <c r="P596" s="12">
        <v>1000</v>
      </c>
      <c r="Q596" s="12" t="s">
        <v>281</v>
      </c>
      <c r="R596" s="12" t="s">
        <v>70</v>
      </c>
      <c r="S596" s="12" t="s">
        <v>362</v>
      </c>
      <c r="T596" s="12" t="s">
        <v>83</v>
      </c>
      <c r="U596" s="12" t="s">
        <v>159</v>
      </c>
      <c r="V596" s="12" t="s">
        <v>164</v>
      </c>
      <c r="W596" s="12" t="s">
        <v>289</v>
      </c>
      <c r="X596" s="12"/>
      <c r="Y596" s="12" t="s">
        <v>290</v>
      </c>
      <c r="Z596" s="12"/>
      <c r="AA596" s="12" t="s">
        <v>295</v>
      </c>
      <c r="AB596" s="12" t="s">
        <v>187</v>
      </c>
      <c r="AC596" s="12" t="str">
        <f>Table1[[#This Row],[City or Community (Sonoma County)]]</f>
        <v>Petaluma</v>
      </c>
      <c r="AD596" s="12">
        <f>COUNTIF(J:J,Table1[[#This Row],[City or Community (Sonoma County)]])</f>
        <v>5</v>
      </c>
      <c r="AE596" s="12" t="str">
        <f>Table1[[#This Row],[Please select your county]]</f>
        <v>Sonoma County</v>
      </c>
      <c r="AF596" s="41">
        <f>COUNTIF(AE:AE,Table1[[#This Row],[County]])</f>
        <v>30</v>
      </c>
      <c r="AG596" s="12">
        <v>2025</v>
      </c>
    </row>
    <row r="597" spans="1:33" ht="15.5" x14ac:dyDescent="0.35">
      <c r="A597" s="12">
        <v>193</v>
      </c>
      <c r="B597" s="12" t="s">
        <v>153</v>
      </c>
      <c r="C597" s="12"/>
      <c r="D597" s="12"/>
      <c r="E597" s="12"/>
      <c r="F597" s="12"/>
      <c r="G597" s="12"/>
      <c r="H597" s="12"/>
      <c r="I597" s="12"/>
      <c r="J597" s="12" t="s">
        <v>421</v>
      </c>
      <c r="K597" s="10" t="s">
        <v>274</v>
      </c>
      <c r="L597" s="10"/>
      <c r="M597" s="10"/>
      <c r="N597" s="10"/>
      <c r="O597" s="12" t="s">
        <v>38</v>
      </c>
      <c r="P597" s="12">
        <v>1196</v>
      </c>
      <c r="Q597" s="12" t="s">
        <v>295</v>
      </c>
      <c r="R597" s="12" t="s">
        <v>70</v>
      </c>
      <c r="S597" s="12" t="s">
        <v>275</v>
      </c>
      <c r="T597" s="12" t="s">
        <v>160</v>
      </c>
      <c r="U597" s="12" t="s">
        <v>159</v>
      </c>
      <c r="V597" s="12" t="s">
        <v>163</v>
      </c>
      <c r="W597" s="12" t="s">
        <v>289</v>
      </c>
      <c r="X597" s="12"/>
      <c r="Y597" s="12" t="s">
        <v>290</v>
      </c>
      <c r="Z597" s="12"/>
      <c r="AA597" s="12" t="s">
        <v>291</v>
      </c>
      <c r="AB597" s="12" t="s">
        <v>165</v>
      </c>
      <c r="AC597" s="12" t="str">
        <f>Table1[[#This Row],[City or Community (Sonoma County)]]</f>
        <v>Petaluma</v>
      </c>
      <c r="AD597" s="12">
        <f>COUNTIF(J:J,Table1[[#This Row],[City or Community (Sonoma County)]])</f>
        <v>5</v>
      </c>
      <c r="AE597" s="12" t="str">
        <f>Table1[[#This Row],[Please select your county]]</f>
        <v>Sonoma County</v>
      </c>
      <c r="AF597" s="41">
        <f>COUNTIF(AE:AE,Table1[[#This Row],[County]])</f>
        <v>30</v>
      </c>
      <c r="AG597" s="12">
        <v>2025</v>
      </c>
    </row>
    <row r="598" spans="1:33" ht="15.5" x14ac:dyDescent="0.35">
      <c r="A598" s="12">
        <v>218</v>
      </c>
      <c r="B598" s="12" t="s">
        <v>153</v>
      </c>
      <c r="C598" s="12"/>
      <c r="D598" s="12"/>
      <c r="E598" s="12"/>
      <c r="F598" s="12"/>
      <c r="G598" s="12"/>
      <c r="H598" s="12"/>
      <c r="I598" s="12"/>
      <c r="J598" s="12" t="s">
        <v>422</v>
      </c>
      <c r="K598" s="10" t="s">
        <v>274</v>
      </c>
      <c r="L598" s="10"/>
      <c r="M598" s="10"/>
      <c r="N598" s="10"/>
      <c r="O598" s="12" t="s">
        <v>38</v>
      </c>
      <c r="P598" s="12">
        <v>660</v>
      </c>
      <c r="Q598" s="12" t="s">
        <v>281</v>
      </c>
      <c r="R598" s="12" t="s">
        <v>79</v>
      </c>
      <c r="S598" s="12" t="s">
        <v>272</v>
      </c>
      <c r="T598" s="12" t="s">
        <v>160</v>
      </c>
      <c r="U598" s="12" t="s">
        <v>159</v>
      </c>
      <c r="V598" s="12" t="s">
        <v>163</v>
      </c>
      <c r="W598" s="12" t="s">
        <v>289</v>
      </c>
      <c r="X598" s="12"/>
      <c r="Y598" s="12" t="s">
        <v>290</v>
      </c>
      <c r="Z598" s="12"/>
      <c r="AA598" s="12" t="s">
        <v>295</v>
      </c>
      <c r="AB598" s="12" t="s">
        <v>190</v>
      </c>
      <c r="AC598" s="12" t="str">
        <f>Table1[[#This Row],[City or Community (Sonoma County)]]</f>
        <v>Sebastopol</v>
      </c>
      <c r="AD598" s="12">
        <f>COUNTIF(J:J,Table1[[#This Row],[City or Community (Sonoma County)]])</f>
        <v>4</v>
      </c>
      <c r="AE598" s="12" t="str">
        <f>Table1[[#This Row],[Please select your county]]</f>
        <v>Sonoma County</v>
      </c>
      <c r="AF598" s="41">
        <f>COUNTIF(AE:AE,Table1[[#This Row],[County]])</f>
        <v>30</v>
      </c>
      <c r="AG598" s="12">
        <v>2025</v>
      </c>
    </row>
    <row r="599" spans="1:33" ht="15.5" x14ac:dyDescent="0.35">
      <c r="A599" s="12">
        <v>189</v>
      </c>
      <c r="B599" s="12" t="s">
        <v>153</v>
      </c>
      <c r="C599" s="12"/>
      <c r="D599" s="12"/>
      <c r="E599" s="12"/>
      <c r="F599" s="12"/>
      <c r="G599" s="12"/>
      <c r="H599" s="12"/>
      <c r="I599" s="12"/>
      <c r="J599" s="12" t="s">
        <v>422</v>
      </c>
      <c r="K599" s="10" t="s">
        <v>267</v>
      </c>
      <c r="L599" s="10"/>
      <c r="M599" s="10"/>
      <c r="N599" s="10"/>
      <c r="O599" s="12" t="s">
        <v>38</v>
      </c>
      <c r="P599" s="12">
        <v>900</v>
      </c>
      <c r="Q599" s="12" t="s">
        <v>281</v>
      </c>
      <c r="R599" s="12" t="s">
        <v>70</v>
      </c>
      <c r="S599" s="12" t="s">
        <v>284</v>
      </c>
      <c r="T599" s="12" t="s">
        <v>160</v>
      </c>
      <c r="U599" s="12" t="s">
        <v>160</v>
      </c>
      <c r="V599" s="12"/>
      <c r="W599" s="12"/>
      <c r="X599" s="12"/>
      <c r="Y599" s="12"/>
      <c r="Z599" s="12"/>
      <c r="AA599" s="12"/>
      <c r="AB599" s="12"/>
      <c r="AC599" s="12" t="str">
        <f>Table1[[#This Row],[City or Community (Sonoma County)]]</f>
        <v>Sebastopol</v>
      </c>
      <c r="AD599" s="12">
        <f>COUNTIF(J:J,Table1[[#This Row],[City or Community (Sonoma County)]])</f>
        <v>4</v>
      </c>
      <c r="AE599" s="12" t="str">
        <f>Table1[[#This Row],[Please select your county]]</f>
        <v>Sonoma County</v>
      </c>
      <c r="AF599" s="41">
        <f>COUNTIF(AE:AE,Table1[[#This Row],[County]])</f>
        <v>30</v>
      </c>
      <c r="AG599" s="12">
        <v>2025</v>
      </c>
    </row>
    <row r="600" spans="1:33" ht="15.5" x14ac:dyDescent="0.35">
      <c r="A600" s="12">
        <v>225</v>
      </c>
      <c r="B600" s="12" t="s">
        <v>153</v>
      </c>
      <c r="C600" s="12"/>
      <c r="D600" s="12"/>
      <c r="E600" s="12"/>
      <c r="F600" s="12"/>
      <c r="G600" s="12"/>
      <c r="H600" s="12"/>
      <c r="I600" s="12"/>
      <c r="J600" s="12" t="s">
        <v>422</v>
      </c>
      <c r="K600" s="10" t="s">
        <v>321</v>
      </c>
      <c r="L600" s="10"/>
      <c r="M600" s="10"/>
      <c r="N600" s="10"/>
      <c r="O600" s="12" t="s">
        <v>38</v>
      </c>
      <c r="P600" s="12">
        <v>984</v>
      </c>
      <c r="Q600" s="12" t="s">
        <v>281</v>
      </c>
      <c r="R600" s="12" t="s">
        <v>69</v>
      </c>
      <c r="S600" s="12" t="s">
        <v>272</v>
      </c>
      <c r="T600" s="12" t="s">
        <v>160</v>
      </c>
      <c r="U600" s="12" t="s">
        <v>160</v>
      </c>
      <c r="V600" s="12"/>
      <c r="W600" s="12"/>
      <c r="X600" s="12"/>
      <c r="Y600" s="12"/>
      <c r="Z600" s="12"/>
      <c r="AA600" s="12"/>
      <c r="AB600" s="12"/>
      <c r="AC600" s="12" t="str">
        <f>Table1[[#This Row],[City or Community (Sonoma County)]]</f>
        <v>Sebastopol</v>
      </c>
      <c r="AD600" s="12">
        <f>COUNTIF(J:J,Table1[[#This Row],[City or Community (Sonoma County)]])</f>
        <v>4</v>
      </c>
      <c r="AE600" s="12" t="str">
        <f>Table1[[#This Row],[Please select your county]]</f>
        <v>Sonoma County</v>
      </c>
      <c r="AF600" s="41">
        <f>COUNTIF(AE:AE,Table1[[#This Row],[County]])</f>
        <v>30</v>
      </c>
      <c r="AG600" s="12">
        <v>2025</v>
      </c>
    </row>
    <row r="601" spans="1:33" ht="15.5" x14ac:dyDescent="0.35">
      <c r="A601" s="12">
        <v>190</v>
      </c>
      <c r="B601" s="12" t="s">
        <v>153</v>
      </c>
      <c r="C601" s="12"/>
      <c r="D601" s="12"/>
      <c r="E601" s="12"/>
      <c r="F601" s="12"/>
      <c r="G601" s="12"/>
      <c r="H601" s="12"/>
      <c r="I601" s="12"/>
      <c r="J601" s="12" t="s">
        <v>422</v>
      </c>
      <c r="K601" s="10" t="s">
        <v>274</v>
      </c>
      <c r="L601" s="10"/>
      <c r="M601" s="10"/>
      <c r="N601" s="10"/>
      <c r="O601" s="12" t="s">
        <v>38</v>
      </c>
      <c r="P601" s="12">
        <v>1200</v>
      </c>
      <c r="Q601" s="12" t="s">
        <v>295</v>
      </c>
      <c r="R601" s="12" t="s">
        <v>67</v>
      </c>
      <c r="S601" s="12" t="s">
        <v>423</v>
      </c>
      <c r="T601" s="12" t="s">
        <v>160</v>
      </c>
      <c r="U601" s="12" t="s">
        <v>160</v>
      </c>
      <c r="V601" s="12"/>
      <c r="W601" s="12"/>
      <c r="X601" s="12"/>
      <c r="Y601" s="12"/>
      <c r="Z601" s="12"/>
      <c r="AA601" s="12"/>
      <c r="AB601" s="12"/>
      <c r="AC601" s="12" t="str">
        <f>Table1[[#This Row],[City or Community (Sonoma County)]]</f>
        <v>Sebastopol</v>
      </c>
      <c r="AD601" s="12">
        <f>COUNTIF(J:J,Table1[[#This Row],[City or Community (Sonoma County)]])</f>
        <v>4</v>
      </c>
      <c r="AE601" s="12" t="str">
        <f>Table1[[#This Row],[Please select your county]]</f>
        <v>Sonoma County</v>
      </c>
      <c r="AF601" s="41">
        <f>COUNTIF(AE:AE,Table1[[#This Row],[County]])</f>
        <v>30</v>
      </c>
      <c r="AG601" s="12">
        <v>2025</v>
      </c>
    </row>
    <row r="602" spans="1:33" ht="15.5" x14ac:dyDescent="0.35">
      <c r="A602" s="12">
        <v>213</v>
      </c>
      <c r="B602" s="12" t="s">
        <v>153</v>
      </c>
      <c r="C602" s="12"/>
      <c r="D602" s="12"/>
      <c r="E602" s="12"/>
      <c r="F602" s="12"/>
      <c r="G602" s="12"/>
      <c r="H602" s="12"/>
      <c r="I602" s="12"/>
      <c r="J602" s="12" t="s">
        <v>424</v>
      </c>
      <c r="K602" s="10" t="s">
        <v>274</v>
      </c>
      <c r="L602" s="10"/>
      <c r="M602" s="10"/>
      <c r="N602" s="10"/>
      <c r="O602" s="12" t="s">
        <v>38</v>
      </c>
      <c r="P602" s="12">
        <v>680</v>
      </c>
      <c r="Q602" s="12" t="s">
        <v>281</v>
      </c>
      <c r="R602" s="12" t="s">
        <v>79</v>
      </c>
      <c r="S602" s="12" t="s">
        <v>284</v>
      </c>
      <c r="T602" s="12" t="s">
        <v>159</v>
      </c>
      <c r="U602" s="12" t="s">
        <v>160</v>
      </c>
      <c r="V602" s="12"/>
      <c r="W602" s="12"/>
      <c r="X602" s="12"/>
      <c r="Y602" s="12"/>
      <c r="Z602" s="12"/>
      <c r="AA602" s="12"/>
      <c r="AB602" s="12"/>
      <c r="AC602" s="12" t="str">
        <f>Table1[[#This Row],[City or Community (Sonoma County)]]</f>
        <v>Santa Rosa</v>
      </c>
      <c r="AD602" s="12">
        <f>COUNTIF(J:J,Table1[[#This Row],[City or Community (Sonoma County)]])</f>
        <v>3</v>
      </c>
      <c r="AE602" s="12" t="str">
        <f>Table1[[#This Row],[Please select your county]]</f>
        <v>Sonoma County</v>
      </c>
      <c r="AF602" s="41">
        <f>COUNTIF(AE:AE,Table1[[#This Row],[County]])</f>
        <v>30</v>
      </c>
      <c r="AG602" s="12">
        <v>2025</v>
      </c>
    </row>
    <row r="603" spans="1:33" ht="31" x14ac:dyDescent="0.35">
      <c r="A603" s="12">
        <v>358</v>
      </c>
      <c r="B603" s="12" t="s">
        <v>153</v>
      </c>
      <c r="C603" s="12"/>
      <c r="D603" s="12"/>
      <c r="E603" s="12"/>
      <c r="F603" s="12"/>
      <c r="G603" s="12"/>
      <c r="H603" s="12"/>
      <c r="I603" s="12"/>
      <c r="J603" s="12" t="s">
        <v>424</v>
      </c>
      <c r="K603" s="10" t="s">
        <v>294</v>
      </c>
      <c r="L603" s="10" t="s">
        <v>279</v>
      </c>
      <c r="M603" s="10" t="s">
        <v>301</v>
      </c>
      <c r="N603" s="10" t="s">
        <v>280</v>
      </c>
      <c r="O603" s="12" t="s">
        <v>38</v>
      </c>
      <c r="P603" s="12">
        <v>800</v>
      </c>
      <c r="Q603" s="12" t="s">
        <v>295</v>
      </c>
      <c r="R603" s="12" t="s">
        <v>68</v>
      </c>
      <c r="S603" s="12" t="s">
        <v>272</v>
      </c>
      <c r="T603" s="12" t="s">
        <v>160</v>
      </c>
      <c r="U603" s="12" t="s">
        <v>160</v>
      </c>
      <c r="V603" s="12"/>
      <c r="W603" s="12"/>
      <c r="X603" s="12"/>
      <c r="Y603" s="12"/>
      <c r="Z603" s="12"/>
      <c r="AA603" s="12"/>
      <c r="AB603" s="12"/>
      <c r="AC603" s="12" t="str">
        <f>Table1[[#This Row],[City or Community (Sonoma County)]]</f>
        <v>Santa Rosa</v>
      </c>
      <c r="AD603" s="12">
        <f>COUNTIF(J:J,Table1[[#This Row],[City or Community (Sonoma County)]])</f>
        <v>3</v>
      </c>
      <c r="AE603" s="12" t="str">
        <f>Table1[[#This Row],[Please select your county]]</f>
        <v>Sonoma County</v>
      </c>
      <c r="AF603" s="41">
        <f>COUNTIF(AE:AE,Table1[[#This Row],[County]])</f>
        <v>30</v>
      </c>
      <c r="AG603" s="12">
        <v>2025</v>
      </c>
    </row>
    <row r="604" spans="1:33" ht="15.5" x14ac:dyDescent="0.35">
      <c r="A604" s="12">
        <v>206</v>
      </c>
      <c r="B604" s="12" t="s">
        <v>153</v>
      </c>
      <c r="C604" s="12"/>
      <c r="D604" s="12"/>
      <c r="E604" s="12"/>
      <c r="F604" s="12"/>
      <c r="G604" s="12"/>
      <c r="H604" s="12"/>
      <c r="I604" s="12"/>
      <c r="J604" s="12" t="s">
        <v>424</v>
      </c>
      <c r="K604" s="10" t="s">
        <v>294</v>
      </c>
      <c r="L604" s="10"/>
      <c r="M604" s="10"/>
      <c r="N604" s="10"/>
      <c r="O604" s="12" t="s">
        <v>38</v>
      </c>
      <c r="P604" s="12">
        <v>1152</v>
      </c>
      <c r="Q604" s="12" t="s">
        <v>326</v>
      </c>
      <c r="R604" s="12" t="s">
        <v>70</v>
      </c>
      <c r="S604" s="12" t="s">
        <v>276</v>
      </c>
      <c r="T604" s="12" t="s">
        <v>160</v>
      </c>
      <c r="U604" s="12" t="s">
        <v>160</v>
      </c>
      <c r="V604" s="12"/>
      <c r="W604" s="12"/>
      <c r="X604" s="12"/>
      <c r="Y604" s="12"/>
      <c r="Z604" s="12"/>
      <c r="AA604" s="12"/>
      <c r="AB604" s="12"/>
      <c r="AC604" s="12" t="str">
        <f>Table1[[#This Row],[City or Community (Sonoma County)]]</f>
        <v>Santa Rosa</v>
      </c>
      <c r="AD604" s="12">
        <f>COUNTIF(J:J,Table1[[#This Row],[City or Community (Sonoma County)]])</f>
        <v>3</v>
      </c>
      <c r="AE604" s="12" t="str">
        <f>Table1[[#This Row],[Please select your county]]</f>
        <v>Sonoma County</v>
      </c>
      <c r="AF604" s="41">
        <f>COUNTIF(AE:AE,Table1[[#This Row],[County]])</f>
        <v>30</v>
      </c>
      <c r="AG604" s="12">
        <v>2025</v>
      </c>
    </row>
    <row r="605" spans="1:33" ht="15.5" x14ac:dyDescent="0.35">
      <c r="A605" s="12">
        <v>544</v>
      </c>
      <c r="B605" s="12" t="s">
        <v>153</v>
      </c>
      <c r="C605" s="12"/>
      <c r="D605" s="12"/>
      <c r="E605" s="12"/>
      <c r="F605" s="12"/>
      <c r="G605" s="12"/>
      <c r="H605" s="12"/>
      <c r="I605" s="12"/>
      <c r="J605" s="12" t="s">
        <v>425</v>
      </c>
      <c r="K605" s="12" t="s">
        <v>294</v>
      </c>
      <c r="L605" s="12" t="s">
        <v>277</v>
      </c>
      <c r="M605" s="12" t="s">
        <v>269</v>
      </c>
      <c r="N605" s="12" t="s">
        <v>288</v>
      </c>
      <c r="O605" s="12" t="s">
        <v>38</v>
      </c>
      <c r="P605" s="12">
        <v>452</v>
      </c>
      <c r="Q605" s="12" t="s">
        <v>281</v>
      </c>
      <c r="R605" s="12" t="s">
        <v>71</v>
      </c>
      <c r="S605" s="12" t="s">
        <v>297</v>
      </c>
      <c r="T605" s="12" t="s">
        <v>83</v>
      </c>
      <c r="U605" s="12" t="s">
        <v>159</v>
      </c>
      <c r="V605" s="12" t="s">
        <v>162</v>
      </c>
      <c r="W605" s="12" t="s">
        <v>289</v>
      </c>
      <c r="X605" s="12"/>
      <c r="Y605" s="12" t="s">
        <v>290</v>
      </c>
      <c r="Z605" s="12"/>
      <c r="AA605" s="12" t="s">
        <v>291</v>
      </c>
      <c r="AB605" s="12" t="s">
        <v>165</v>
      </c>
      <c r="AC605" s="12" t="str">
        <f>Table1[[#This Row],[City or Community (Sonoma County)]]</f>
        <v>Rohnert Park</v>
      </c>
      <c r="AD605" s="12">
        <f>COUNTIF(J:J,Table1[[#This Row],[City or Community (Sonoma County)]])</f>
        <v>2</v>
      </c>
      <c r="AE605" s="12" t="str">
        <f>Table1[[#This Row],[Please select your county]]</f>
        <v>Sonoma County</v>
      </c>
      <c r="AF605" s="41">
        <f>COUNTIF(AE:AE,Table1[[#This Row],[County]])</f>
        <v>30</v>
      </c>
      <c r="AG605" s="12">
        <v>2025</v>
      </c>
    </row>
    <row r="606" spans="1:33" ht="31" x14ac:dyDescent="0.35">
      <c r="A606" s="12">
        <v>532</v>
      </c>
      <c r="B606" s="12" t="s">
        <v>153</v>
      </c>
      <c r="C606" s="12"/>
      <c r="D606" s="12"/>
      <c r="E606" s="12"/>
      <c r="F606" s="12"/>
      <c r="G606" s="12"/>
      <c r="H606" s="12"/>
      <c r="I606" s="12"/>
      <c r="J606" s="12" t="s">
        <v>425</v>
      </c>
      <c r="K606" s="10" t="s">
        <v>274</v>
      </c>
      <c r="L606" s="10" t="s">
        <v>279</v>
      </c>
      <c r="M606" s="10" t="s">
        <v>303</v>
      </c>
      <c r="N606" s="10" t="s">
        <v>270</v>
      </c>
      <c r="O606" s="12" t="s">
        <v>38</v>
      </c>
      <c r="P606" s="12">
        <v>752</v>
      </c>
      <c r="Q606" s="12" t="s">
        <v>295</v>
      </c>
      <c r="R606" s="12" t="s">
        <v>67</v>
      </c>
      <c r="S606" s="12" t="s">
        <v>426</v>
      </c>
      <c r="T606" s="12" t="s">
        <v>159</v>
      </c>
      <c r="U606" s="12" t="s">
        <v>160</v>
      </c>
      <c r="V606" s="12"/>
      <c r="W606" s="12"/>
      <c r="X606" s="12"/>
      <c r="Y606" s="12"/>
      <c r="Z606" s="12"/>
      <c r="AA606" s="12"/>
      <c r="AB606" s="12"/>
      <c r="AC606" s="12" t="str">
        <f>Table1[[#This Row],[City or Community (Sonoma County)]]</f>
        <v>Rohnert Park</v>
      </c>
      <c r="AD606" s="12">
        <f>COUNTIF(J:J,Table1[[#This Row],[City or Community (Sonoma County)]])</f>
        <v>2</v>
      </c>
      <c r="AE606" s="12" t="str">
        <f>Table1[[#This Row],[Please select your county]]</f>
        <v>Sonoma County</v>
      </c>
      <c r="AF606" s="41">
        <f>COUNTIF(AE:AE,Table1[[#This Row],[County]])</f>
        <v>30</v>
      </c>
      <c r="AG606" s="12">
        <v>2025</v>
      </c>
    </row>
  </sheetData>
  <phoneticPr fontId="25" type="noConversion"/>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10aae70-5e75-4e82-a163-f68d5251b757">
      <Terms xmlns="http://schemas.microsoft.com/office/infopath/2007/PartnerControls"/>
    </lcf76f155ced4ddcb4097134ff3c332f>
    <TaxCatchAll xmlns="426905ed-eb60-4dee-bae3-1eb4ee59850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DDAED76F72E91499DA2BAE144A033D8" ma:contentTypeVersion="13" ma:contentTypeDescription="Create a new document." ma:contentTypeScope="" ma:versionID="2d06e3683c322eeec5cfffb5a9abf7f4">
  <xsd:schema xmlns:xsd="http://www.w3.org/2001/XMLSchema" xmlns:xs="http://www.w3.org/2001/XMLSchema" xmlns:p="http://schemas.microsoft.com/office/2006/metadata/properties" xmlns:ns2="110aae70-5e75-4e82-a163-f68d5251b757" xmlns:ns3="426905ed-eb60-4dee-bae3-1eb4ee598505" targetNamespace="http://schemas.microsoft.com/office/2006/metadata/properties" ma:root="true" ma:fieldsID="8a64bf7f5c614ab601de81bda93f8756" ns2:_="" ns3:_="">
    <xsd:import namespace="110aae70-5e75-4e82-a163-f68d5251b757"/>
    <xsd:import namespace="426905ed-eb60-4dee-bae3-1eb4ee5985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aae70-5e75-4e82-a163-f68d5251b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cd0cb3f-5946-44d7-9d7b-f1ee894f69bf"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6905ed-eb60-4dee-bae3-1eb4ee59850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414e46b-3444-4573-b909-88614f747180}" ma:internalName="TaxCatchAll" ma:showField="CatchAllData" ma:web="426905ed-eb60-4dee-bae3-1eb4ee5985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252298-BFEA-4B98-9551-6B1A09A85C9C}">
  <ds:schemaRefs>
    <ds:schemaRef ds:uri="http://schemas.microsoft.com/office/2006/metadata/properties"/>
    <ds:schemaRef ds:uri="http://schemas.microsoft.com/office/infopath/2007/PartnerControls"/>
    <ds:schemaRef ds:uri="110aae70-5e75-4e82-a163-f68d5251b757"/>
    <ds:schemaRef ds:uri="426905ed-eb60-4dee-bae3-1eb4ee598505"/>
  </ds:schemaRefs>
</ds:datastoreItem>
</file>

<file path=customXml/itemProps2.xml><?xml version="1.0" encoding="utf-8"?>
<ds:datastoreItem xmlns:ds="http://schemas.openxmlformats.org/officeDocument/2006/customXml" ds:itemID="{8A3283FF-94CE-4153-B554-6CCA0A11BD0A}">
  <ds:schemaRefs>
    <ds:schemaRef ds:uri="http://schemas.microsoft.com/sharepoint/v3/contenttype/forms"/>
  </ds:schemaRefs>
</ds:datastoreItem>
</file>

<file path=customXml/itemProps3.xml><?xml version="1.0" encoding="utf-8"?>
<ds:datastoreItem xmlns:ds="http://schemas.openxmlformats.org/officeDocument/2006/customXml" ds:itemID="{E982023A-282A-4E2C-834C-D01703F0C1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aae70-5e75-4e82-a163-f68d5251b757"/>
    <ds:schemaRef ds:uri="426905ed-eb60-4dee-bae3-1eb4ee5985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Regional Overview</vt:lpstr>
      <vt:lpstr>County Overview</vt:lpstr>
      <vt:lpstr>City Overview</vt:lpstr>
      <vt:lpstr>2025 Affordability by County</vt:lpstr>
      <vt:lpstr>Demographic Data</vt:lpstr>
      <vt:lpstr>Methodology</vt:lpstr>
      <vt:lpstr>2025 Affordability Calcluations</vt:lpstr>
      <vt:lpstr>ADU Homeowner Survey 2025</vt:lpstr>
      <vt:lpstr>Responses by Jurisdiction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Ellsworth</dc:creator>
  <cp:keywords/>
  <dc:description/>
  <cp:lastModifiedBy>Clair McDevitt</cp:lastModifiedBy>
  <cp:revision/>
  <dcterms:created xsi:type="dcterms:W3CDTF">2024-11-22T00:43:08Z</dcterms:created>
  <dcterms:modified xsi:type="dcterms:W3CDTF">2026-03-09T23:13:31Z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0x0101004DDAED76F72E91499DA2BAE144A033D8</vt:lpwstr>
  </property>
  <property fmtid="{D5CDD505-2E9C-101B-9397-08002B2CF9AE}" pid="3" name="MediaServiceImageTags">
    <vt:lpwstr/>
  </property>
</Properties>
</file>