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cdevitt\Box\Housing Leadership &amp; Community Engagement TA Module\Farmworker TA\"/>
    </mc:Choice>
  </mc:AlternateContent>
  <xr:revisionPtr revIDLastSave="0" documentId="8_{EF6A5065-B2D5-408F-ABF4-BBCCA2DE05ED}" xr6:coauthVersionLast="47" xr6:coauthVersionMax="47" xr10:uidLastSave="{00000000-0000-0000-0000-000000000000}"/>
  <bookViews>
    <workbookView xWindow="-110" yWindow="-110" windowWidth="22780" windowHeight="14660" xr2:uid="{0FC1113F-A787-402D-8696-E2DD8207B924}"/>
  </bookViews>
  <sheets>
    <sheet name="MATRIX" sheetId="2" r:id="rId1"/>
  </sheets>
  <externalReferences>
    <externalReference r:id="rId2"/>
  </externalReferences>
  <definedNames>
    <definedName name="_xlnm._FilterDatabase" localSheetId="0">MATRIX!$A$4:$T$4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2" l="1"/>
  <c r="S17" i="2" s="1"/>
  <c r="P16" i="2"/>
  <c r="R16" i="2" s="1"/>
  <c r="S16" i="2" s="1"/>
  <c r="O17" i="2"/>
  <c r="K17" i="2" s="1"/>
  <c r="O16" i="2"/>
  <c r="K16" i="2" s="1"/>
  <c r="S10" i="2"/>
  <c r="R10" i="2"/>
  <c r="J5" i="2"/>
  <c r="J17" i="2"/>
  <c r="J16" i="2"/>
  <c r="K5" i="2"/>
  <c r="O7" i="2"/>
  <c r="R7" i="2" s="1"/>
  <c r="D17" i="2"/>
  <c r="O10" i="2"/>
  <c r="K10" i="2" s="1"/>
  <c r="J10" i="2"/>
  <c r="D10" i="2"/>
  <c r="O9" i="2"/>
  <c r="P9" i="2" s="1"/>
  <c r="S9" i="2" s="1"/>
  <c r="J9" i="2"/>
  <c r="D9" i="2"/>
  <c r="P8" i="2"/>
  <c r="S8" i="2" s="1"/>
  <c r="O8" i="2"/>
  <c r="K8" i="2" s="1"/>
  <c r="J8" i="2"/>
  <c r="D8" i="2"/>
  <c r="P7" i="2"/>
  <c r="J7" i="2"/>
  <c r="D7" i="2"/>
  <c r="P6" i="2"/>
  <c r="S6" i="2" s="1"/>
  <c r="O6" i="2"/>
  <c r="Q6" i="2" s="1"/>
  <c r="J6" i="2"/>
  <c r="D6" i="2"/>
  <c r="P5" i="2"/>
  <c r="Q5" i="2" s="1"/>
  <c r="R6" i="2" l="1"/>
  <c r="Q10" i="2"/>
  <c r="R8" i="2"/>
  <c r="Q16" i="2"/>
  <c r="K7" i="2"/>
  <c r="S7" i="2"/>
  <c r="R9" i="2"/>
  <c r="R17" i="2"/>
  <c r="K6" i="2"/>
  <c r="K9" i="2"/>
  <c r="Q7" i="2"/>
  <c r="Q8" i="2"/>
  <c r="Q9" i="2"/>
  <c r="R5" i="2"/>
  <c r="S5" i="2" s="1"/>
  <c r="Q17" i="2"/>
</calcChain>
</file>

<file path=xl/sharedStrings.xml><?xml version="1.0" encoding="utf-8"?>
<sst xmlns="http://schemas.openxmlformats.org/spreadsheetml/2006/main" count="125" uniqueCount="83">
  <si>
    <t>Overview of Sample Farmworker Housing Projects in the Bay Area</t>
  </si>
  <si>
    <t>New Construction</t>
  </si>
  <si>
    <t>Project Name</t>
  </si>
  <si>
    <t>Service Date</t>
  </si>
  <si>
    <t>Location</t>
  </si>
  <si>
    <t>Density (unit/acre)</t>
  </si>
  <si>
    <t>Typology</t>
  </si>
  <si>
    <t>Permanent vs. Temporary</t>
  </si>
  <si>
    <t>Income Limits and Unit Mix</t>
  </si>
  <si>
    <t>Dedicated Farmworker Units</t>
  </si>
  <si>
    <t>Total Units</t>
  </si>
  <si>
    <t>% Farmworker Units</t>
  </si>
  <si>
    <t>Development Costs per Unit*</t>
  </si>
  <si>
    <t>Unit Mix</t>
  </si>
  <si>
    <t>Developer</t>
  </si>
  <si>
    <t>Landowner</t>
  </si>
  <si>
    <t>Total Cost*</t>
  </si>
  <si>
    <t>Total Public Subsidy incl. LIHTC (if applicable)*</t>
  </si>
  <si>
    <t>% Public Subsidy</t>
  </si>
  <si>
    <t>Total Public Subsidy/Unit *</t>
  </si>
  <si>
    <t>Public Subsidy/Unit 
(excl. LIHTC) *</t>
  </si>
  <si>
    <t>Capital Stack (See more detail in separate sheet)</t>
  </si>
  <si>
    <t>River Ranch Migrant Housing Center</t>
  </si>
  <si>
    <t>Unincorporated Napa County</t>
  </si>
  <si>
    <t>Dormitory</t>
  </si>
  <si>
    <t>Temporary</t>
  </si>
  <si>
    <t>ELI: 25%
VLI: 50%
LI: 25%</t>
  </si>
  <si>
    <t>Dormitory-style beds</t>
  </si>
  <si>
    <t>Napa County Housing Authority</t>
  </si>
  <si>
    <t>Napa County Housing Authority
Note: Land donated by private landowner</t>
  </si>
  <si>
    <t>Public funding sources including Napa County redevelopment tax increments and Joe Serna Jr.</t>
  </si>
  <si>
    <t>George-Ortiz Plaza I</t>
  </si>
  <si>
    <t>Unincorporated Sonoma County</t>
  </si>
  <si>
    <t>2-Story Apartment Complex</t>
  </si>
  <si>
    <t>Permanent</t>
  </si>
  <si>
    <t xml:space="preserve">ELI: 24%
VLI/LI: 76%
</t>
  </si>
  <si>
    <t>2-bedroom</t>
  </si>
  <si>
    <t>Phoenix Development Company, Integrity Housing</t>
  </si>
  <si>
    <t>California Human Development Corporation</t>
  </si>
  <si>
    <t>Public funding sources included USDA RHS 514/516, State HCD MHP, Sonoma County CDC, Farmworker Housing Tax Credits)</t>
  </si>
  <si>
    <t>Royal Oak Village</t>
  </si>
  <si>
    <t>2023 (Planned)</t>
  </si>
  <si>
    <t>City of Morgan Hill (Santa Clara)</t>
  </si>
  <si>
    <t>2-Story and 3-Story Apartment Complex</t>
  </si>
  <si>
    <t>ELI/VLI/LI: 100%</t>
  </si>
  <si>
    <t>1-bedroom, 2-bedroom, 3-bedroom</t>
  </si>
  <si>
    <t>UHC H4, Ikaika Ohana</t>
  </si>
  <si>
    <t>Public funding sources included County of Santa Clara Measure A, City of Morgan Hill funds, and Tax Credit Equity.</t>
  </si>
  <si>
    <t>414 Petaluma</t>
  </si>
  <si>
    <t>City of Petaluma (Sonoma)</t>
  </si>
  <si>
    <t>4-Story Apartment Complex</t>
  </si>
  <si>
    <t>Studios, 1-bedroom, 2-bedroom, 3-bedroom</t>
  </si>
  <si>
    <t>MidPen Housing Corporation</t>
  </si>
  <si>
    <t>Public funding sources included California's "No Place Like Home," City of Petaluma, Sonoma County CDC, Sonoma County Housing Authority, California Tax Credit Allocation Committee
Received $2.1M from Joe Serna</t>
  </si>
  <si>
    <t>Magnolias</t>
  </si>
  <si>
    <t>2025 (Planned)</t>
  </si>
  <si>
    <t xml:space="preserve">5-story Apartment Complex </t>
  </si>
  <si>
    <t>VLI: 100%</t>
  </si>
  <si>
    <t>First Community Housing</t>
  </si>
  <si>
    <t>Public funding sources included County of Santa Clara Measure A, Joe Serna, and Tax Credit Equity. 
Received $13M from Joe Serna.</t>
  </si>
  <si>
    <t>Petaluma River Place Apartments</t>
  </si>
  <si>
    <t>TBD</t>
  </si>
  <si>
    <t>Burbank Housing Development Corporation</t>
  </si>
  <si>
    <t>Public funding sourecs include HCD's California Housing Accelerator Program, No Place Like Home, Joe Serna Farmworker Housing, and a Sonoma County CDC grant from HCD CDBG-DR funds. 
Received $5.7M from Joe Serna</t>
  </si>
  <si>
    <t>Rehabilitation</t>
  </si>
  <si>
    <t>Aspen Grove Apartments</t>
  </si>
  <si>
    <t>2019 Rehabilitation Project (Built in 1987)</t>
  </si>
  <si>
    <t>City of Gilroy (Santa Clara)</t>
  </si>
  <si>
    <t>N/A</t>
  </si>
  <si>
    <t>2-Story Townhomes (Rehabilitation)</t>
  </si>
  <si>
    <t>ELI/VLI/LI = 100%</t>
  </si>
  <si>
    <t>2-bedroom, 3-bedroom, 4-bedroom</t>
  </si>
  <si>
    <t>Eden Housing, Inc.</t>
  </si>
  <si>
    <t xml:space="preserve">Public funding sources included USDA Farm Labor Housing Loans and Joe Serna. 
Received $3,790,337 from Joe Serna. Received $1.4M from USDA. Also received $172,975 from Low Income Weatherization Program. </t>
  </si>
  <si>
    <t>Heritage House**</t>
  </si>
  <si>
    <t>City of Napa (Napa)</t>
  </si>
  <si>
    <t>Complete renovation</t>
  </si>
  <si>
    <t>Burbank Housing Development Corporation &amp; Gasser Foundation (partnership)</t>
  </si>
  <si>
    <t>County of Napa</t>
  </si>
  <si>
    <t>Public funding sources for Heritage House included State "No Place Like Home," City of Napa AHTF Loan, County of Napa Acquisition Loan, LIHTC Equity.</t>
  </si>
  <si>
    <t>New construction for Valle Verde received $7M from Joe Serna.</t>
  </si>
  <si>
    <t>*Rounded to the thousands</t>
  </si>
  <si>
    <t>*Heritage House is on the same site as Valle Verde, new construction. Only Heritage House was included in this matrix because of the availability of detailed funding source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</si>
</sst>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Open Sans"/>
      <family val="2"/>
    </font>
    <font>
      <sz val="10"/>
      <color theme="1"/>
      <name val="Open Sans"/>
      <family val="2"/>
    </font>
    <font>
      <sz val="10"/>
      <color rgb="FFFF0000"/>
      <name val="Open Sans"/>
      <family val="2"/>
    </font>
    <font>
      <b/>
      <sz val="10"/>
      <color theme="1"/>
      <name val="Open Sans"/>
      <family val="2"/>
    </font>
    <font>
      <sz val="10"/>
      <name val="Open Sans"/>
      <family val="2"/>
    </font>
    <font>
      <b/>
      <i/>
      <sz val="10"/>
      <color theme="1"/>
      <name val="Open Sans"/>
      <family val="2"/>
    </font>
    <font>
      <b/>
      <sz val="1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164" fontId="3" fillId="0" borderId="1" xfId="2" applyNumberFormat="1" applyFont="1" applyBorder="1" applyAlignment="1">
      <alignment horizontal="right" vertical="top" wrapText="1"/>
    </xf>
    <xf numFmtId="164" fontId="3" fillId="0" borderId="1" xfId="2" applyNumberFormat="1" applyFont="1" applyFill="1" applyBorder="1" applyAlignment="1">
      <alignment horizontal="right" vertical="top" wrapText="1"/>
    </xf>
    <xf numFmtId="164" fontId="3" fillId="0" borderId="4" xfId="2" applyNumberFormat="1" applyFont="1" applyFill="1" applyBorder="1" applyAlignment="1">
      <alignment horizontal="right" vertical="top"/>
    </xf>
    <xf numFmtId="164" fontId="3" fillId="0" borderId="1" xfId="2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/>
    </xf>
    <xf numFmtId="9" fontId="3" fillId="0" borderId="1" xfId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right" vertical="top" wrapText="1"/>
    </xf>
    <xf numFmtId="9" fontId="3" fillId="0" borderId="1" xfId="1" applyFont="1" applyBorder="1" applyAlignment="1">
      <alignment horizontal="right" vertical="top"/>
    </xf>
    <xf numFmtId="9" fontId="3" fillId="0" borderId="1" xfId="1" applyFont="1" applyFill="1" applyBorder="1" applyAlignment="1">
      <alignment horizontal="right" vertical="top"/>
    </xf>
    <xf numFmtId="9" fontId="3" fillId="0" borderId="1" xfId="1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 vertical="top"/>
    </xf>
    <xf numFmtId="6" fontId="3" fillId="0" borderId="1" xfId="0" applyNumberFormat="1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right" vertical="top"/>
    </xf>
    <xf numFmtId="164" fontId="6" fillId="0" borderId="1" xfId="0" applyNumberFormat="1" applyFont="1" applyBorder="1" applyAlignment="1">
      <alignment horizontal="righ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</cellXfs>
  <cellStyles count="3">
    <cellStyle name="Currency 2" xfId="2" xr:uid="{B6A4E0CB-91C9-4F60-B58F-919A13EDB1C7}"/>
    <cellStyle name="Normal" xfId="0" builtinId="0"/>
    <cellStyle name="Percent 2" xfId="1" xr:uid="{130F3190-2570-4FD5-B913-AE6D67B8FEDF}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164" formatCode="&quot;$&quot;#,##0"/>
      <alignment horizontal="righ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164" formatCode="&quot;$&quot;#,##0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164" formatCode="&quot;$&quot;#,##0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164" formatCode="&quot;$&quot;#,##0"/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raadvisors.sharepoint.com/sites/BayAreaAgPlan-HRAOnly/Shared%20Documents/Farmworker%20Housing/4.%20Tasks,%20Research%20and%20Analysis/Financial%20Plan/10.24.23_BAHFA%20FInancial%20Plan.xlsx" TargetMode="External"/><Relationship Id="rId1" Type="http://schemas.openxmlformats.org/officeDocument/2006/relationships/externalLinkPath" Target="https://hraadvisors.sharepoint.com/sites/BayAreaAgPlan-HRAOnly/Shared%20Documents/Farmworker%20Housing/4.%20Tasks,%20Research%20and%20Analysis/Financial%20Plan/10.24.23_BAHFA%20FInancial%20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 SHARE"/>
      <sheetName val="MATRIX"/>
      <sheetName val="Detailed Financing Sheet"/>
      <sheetName val="INTERNAL"/>
      <sheetName val="Unit Size and Unit Mix"/>
      <sheetName val="INTERNAL MATRIX"/>
      <sheetName val="TO SEND EDEN"/>
      <sheetName val="TO SEND Burbank"/>
      <sheetName val="FULL LIST BAHFA Matrix"/>
      <sheetName val="George-Ortiz"/>
      <sheetName val="414 Petaluma"/>
      <sheetName val="Heritage House"/>
    </sheetNames>
    <sheetDataSet>
      <sheetData sheetId="0"/>
      <sheetData sheetId="1"/>
      <sheetData sheetId="2">
        <row r="29">
          <cell r="C29">
            <v>26699002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B2E3BD-F9AF-4269-81AA-7D40FBD18DE9}" name="NewConstruction" displayName="NewConstruction" ref="A4:T10" totalsRowShown="0" headerRowDxfId="42" dataDxfId="41" tableBorderDxfId="40">
  <autoFilter ref="A4:T10" xr:uid="{2EB2E3BD-F9AF-4269-81AA-7D40FBD18DE9}"/>
  <tableColumns count="20">
    <tableColumn id="1" xr3:uid="{625B7E10-7A92-4758-88ED-AB437B979501}" name="Project Name" dataDxfId="39"/>
    <tableColumn id="2" xr3:uid="{83E5B870-7C25-4C67-B57A-3658F3864B16}" name="Service Date" dataDxfId="38"/>
    <tableColumn id="3" xr3:uid="{51B4A5EB-EAA0-43C4-B7C3-37633DDEA829}" name="Location" dataDxfId="37"/>
    <tableColumn id="4" xr3:uid="{5DF4559C-DEF7-4CE5-AF35-11BFE123DACA}" name="Density (unit/acre)" dataDxfId="36"/>
    <tableColumn id="5" xr3:uid="{D3BC476D-1812-44E8-97CE-0C2E56FFE385}" name="Typology" dataDxfId="35"/>
    <tableColumn id="6" xr3:uid="{69542673-6334-49CF-A6F8-603FF5B70D92}" name="Permanent vs. Temporary" dataDxfId="34"/>
    <tableColumn id="7" xr3:uid="{FF5D428B-8BF8-44E4-BFA5-3E0D4B57A299}" name="Income Limits and Unit Mix" dataDxfId="33"/>
    <tableColumn id="8" xr3:uid="{6F4CC60B-BE10-4E1B-8B9A-527C3C1F2857}" name="Dedicated Farmworker Units" dataDxfId="32"/>
    <tableColumn id="9" xr3:uid="{9483E337-ABE2-4C5E-BD92-9576704976AB}" name="Total Units" dataDxfId="31"/>
    <tableColumn id="10" xr3:uid="{B39BB622-791D-457B-9F00-B5C60822FF52}" name="% Farmworker Units" dataDxfId="30" dataCellStyle="Percent 2">
      <calculatedColumnFormula>H5/I5</calculatedColumnFormula>
    </tableColumn>
    <tableColumn id="11" xr3:uid="{E998C372-720C-421B-A1C2-2B4DDD2C320B}" name="Development Costs per Unit*" dataDxfId="29"/>
    <tableColumn id="12" xr3:uid="{303BFA82-C701-475E-A673-D4D72865C5D7}" name="Unit Mix" dataDxfId="28"/>
    <tableColumn id="13" xr3:uid="{225DACB9-7557-4FC0-A597-D6E5D44DE722}" name="Developer" dataDxfId="27"/>
    <tableColumn id="14" xr3:uid="{5B7CF82E-6CF5-4C4C-83C8-DB3CE65FCE27}" name="Landowner" dataDxfId="26"/>
    <tableColumn id="15" xr3:uid="{9DA9BC09-C931-4C87-A9A9-56C441F33805}" name="Total Cost*" dataDxfId="25"/>
    <tableColumn id="16" xr3:uid="{0D26B4B5-31D1-4C9E-9A40-7F01656EBD23}" name="Total Public Subsidy incl. LIHTC (if applicable)*" dataDxfId="24"/>
    <tableColumn id="17" xr3:uid="{43D88C55-B750-4B36-A8BF-444DEA741B34}" name="% Public Subsidy" dataDxfId="23">
      <calculatedColumnFormula>P5/O5</calculatedColumnFormula>
    </tableColumn>
    <tableColumn id="18" xr3:uid="{7052D6D8-C281-4F82-892F-449A1C9B03CE}" name="Total Public Subsidy/Unit *" dataDxfId="22" dataCellStyle="Currency 2">
      <calculatedColumnFormula>ROUND(P5/I5, -3)</calculatedColumnFormula>
    </tableColumn>
    <tableColumn id="19" xr3:uid="{C923E6EB-B11A-41F7-92D4-AB9D7542B067}" name="Public Subsidy/Unit _x000a_(excl. LIHTC) *" dataDxfId="21"/>
    <tableColumn id="20" xr3:uid="{56C6EFFA-10C6-4140-B528-4AF56034184B}" name="Capital Stack (See more detail in separate sheet)" dataDxfId="20"/>
  </tableColumns>
  <tableStyleInfo name="TableStyleMedium2" showFirstColumn="1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F90819-8526-4DFE-8F21-190A7EC70903}" name="Rehabilitation" displayName="Rehabilitation" ref="A15:T17" totalsRowShown="0" headerRowDxfId="19" tableBorderDxfId="18">
  <autoFilter ref="A15:T17" xr:uid="{F4F90819-8526-4DFE-8F21-190A7EC70903}"/>
  <tableColumns count="20">
    <tableColumn id="1" xr3:uid="{46519DA4-4F66-4481-96C0-4D6E1B521DAA}" name="Project Name" dataDxfId="17"/>
    <tableColumn id="2" xr3:uid="{58435388-3546-4059-8125-010C582BB51D}" name="Service Date" dataDxfId="16"/>
    <tableColumn id="3" xr3:uid="{57AD2915-140E-4024-A4E2-D6791711E696}" name="Location" dataDxfId="15"/>
    <tableColumn id="4" xr3:uid="{F809DAD4-7353-424B-AA00-09D87E7AA10C}" name="Density (unit/acre)">
      <calculatedColumnFormula>66/2.9</calculatedColumnFormula>
    </tableColumn>
    <tableColumn id="5" xr3:uid="{62976F17-8869-4A33-A950-9B3EB5480A0C}" name="Typology" dataDxfId="14"/>
    <tableColumn id="6" xr3:uid="{B8DCD6DE-DDBD-463D-8FAF-ED98EB907539}" name="Permanent vs. Temporary" dataDxfId="13"/>
    <tableColumn id="7" xr3:uid="{DCFED917-C343-408D-9E64-4AA4B1CEFC42}" name="Income Limits and Unit Mix" dataDxfId="12"/>
    <tableColumn id="8" xr3:uid="{5DD5207C-C8BA-43D1-85C2-9755AEA4BEE6}" name="Dedicated Farmworker Units" dataDxfId="11"/>
    <tableColumn id="9" xr3:uid="{F3CDBF6E-B1EF-4C6B-A8A5-9EB8FA0FCCA0}" name="Total Units" dataDxfId="10"/>
    <tableColumn id="10" xr3:uid="{500E70C9-A543-4DC5-AEA5-7E236DA95A52}" name="% Farmworker Units" dataDxfId="9" dataCellStyle="Percent 2">
      <calculatedColumnFormula>H16/I16</calculatedColumnFormula>
    </tableColumn>
    <tableColumn id="11" xr3:uid="{D37E1680-C7C6-473D-B980-93F83B83FE6C}" name="Development Costs per Unit*" dataDxfId="8">
      <calculatedColumnFormula>ROUND(O16/I16, -3)</calculatedColumnFormula>
    </tableColumn>
    <tableColumn id="12" xr3:uid="{23021B2D-F237-471A-BBD1-39CA36F8800E}" name="Unit Mix" dataDxfId="7"/>
    <tableColumn id="13" xr3:uid="{C6E57898-3038-49B7-830B-AC72D1751523}" name="Developer" dataDxfId="6"/>
    <tableColumn id="14" xr3:uid="{32839B77-203B-47FF-85F5-CE61C4ED1BE5}" name="Landowner" dataDxfId="5"/>
    <tableColumn id="15" xr3:uid="{1C3771C9-54C3-411D-B605-34E62BC1C022}" name="Total Cost*" dataDxfId="4">
      <calculatedColumnFormula>ROUND(28585553, -3)</calculatedColumnFormula>
    </tableColumn>
    <tableColumn id="16" xr3:uid="{1D205C49-9100-4590-A64D-7098A0600A23}" name="Total Public Subsidy incl. LIHTC (if applicable)*" dataDxfId="3" dataCellStyle="Currency 2">
      <calculatedColumnFormula>ROUND('[1]Detailed Financing Sheet'!C28, -3)</calculatedColumnFormula>
    </tableColumn>
    <tableColumn id="17" xr3:uid="{90D54446-4E1D-4E1B-94EA-11ADAA7BCD40}" name="% Public Subsidy">
      <calculatedColumnFormula>P16/O16</calculatedColumnFormula>
    </tableColumn>
    <tableColumn id="18" xr3:uid="{42EAA5DE-AB43-42AE-A995-8F73FB317EA4}" name="Total Public Subsidy/Unit *" dataDxfId="2" dataCellStyle="Currency 2">
      <calculatedColumnFormula>ROUND(P16/I16, -3)</calculatedColumnFormula>
    </tableColumn>
    <tableColumn id="19" xr3:uid="{E3F0FC0A-AFAA-47F2-9D1F-A09945A05A74}" name="Public Subsidy/Unit _x000a_(excl. LIHTC) *" dataDxfId="1">
      <calculatedColumnFormula>ROUND((P16-9903448)/I16, -3)</calculatedColumnFormula>
    </tableColumn>
    <tableColumn id="20" xr3:uid="{C1AAE165-6C10-4307-817B-F3609164BD5B}" name="Capital Stack (See more detail in separate sheet)" dataDxfId="0"/>
  </tableColumns>
  <tableStyleInfo name="TableStyleMedium2" showFirstColumn="1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74197-9F15-44FC-8915-DFBFECFD4BC9}">
  <sheetPr>
    <pageSetUpPr fitToPage="1"/>
  </sheetPr>
  <dimension ref="A1:T20"/>
  <sheetViews>
    <sheetView showGridLines="0" tabSelected="1" zoomScale="85" zoomScaleNormal="85" workbookViewId="0">
      <pane xSplit="1" ySplit="4" topLeftCell="M5" activePane="bottomRight" state="frozen"/>
      <selection pane="topRight" activeCell="C1" sqref="C1"/>
      <selection pane="bottomLeft" activeCell="A6" sqref="A6"/>
      <selection pane="bottomRight"/>
    </sheetView>
  </sheetViews>
  <sheetFormatPr defaultColWidth="8.7265625" defaultRowHeight="14.5" x14ac:dyDescent="0.35"/>
  <cols>
    <col min="1" max="1" width="20.81640625" style="4" customWidth="1"/>
    <col min="2" max="2" width="14.453125" style="4" customWidth="1"/>
    <col min="3" max="3" width="16" style="4" customWidth="1"/>
    <col min="4" max="4" width="20.26953125" style="10" customWidth="1"/>
    <col min="5" max="5" width="14.54296875" style="4" customWidth="1"/>
    <col min="6" max="6" width="26.81640625" style="4" customWidth="1"/>
    <col min="7" max="7" width="28.26953125" style="2" customWidth="1"/>
    <col min="8" max="8" width="29.54296875" style="10" customWidth="1"/>
    <col min="9" max="9" width="13.1796875" style="10" customWidth="1"/>
    <col min="10" max="10" width="22" style="10" customWidth="1"/>
    <col min="11" max="11" width="29.54296875" style="10" customWidth="1"/>
    <col min="12" max="12" width="13.26953125" style="4" customWidth="1"/>
    <col min="13" max="13" width="14.453125" style="4" customWidth="1"/>
    <col min="14" max="14" width="13.453125" style="4" customWidth="1"/>
    <col min="15" max="15" width="13.453125" style="10" customWidth="1"/>
    <col min="16" max="16" width="45.1796875" style="10" customWidth="1"/>
    <col min="17" max="17" width="18.26953125" style="4" customWidth="1"/>
    <col min="18" max="18" width="27.54296875" style="10" customWidth="1"/>
    <col min="19" max="19" width="13.54296875" style="10" customWidth="1"/>
    <col min="20" max="20" width="47.54296875" style="4" customWidth="1"/>
    <col min="21" max="21" width="27.453125" style="4" customWidth="1"/>
    <col min="22" max="16384" width="8.7265625" style="4"/>
  </cols>
  <sheetData>
    <row r="1" spans="1:20" ht="23" x14ac:dyDescent="0.35">
      <c r="A1" s="3" t="s">
        <v>0</v>
      </c>
      <c r="R1"/>
      <c r="S1"/>
      <c r="T1"/>
    </row>
    <row r="2" spans="1:20" s="2" customFormat="1" x14ac:dyDescent="0.35">
      <c r="A2" s="1"/>
      <c r="B2" s="1"/>
      <c r="C2" s="1"/>
      <c r="D2" s="8"/>
      <c r="E2" s="1"/>
      <c r="H2" s="15"/>
      <c r="I2" s="15"/>
      <c r="J2" s="15"/>
      <c r="K2" s="8"/>
      <c r="L2" s="1"/>
      <c r="M2" s="1"/>
      <c r="N2" s="1"/>
      <c r="O2" s="8"/>
      <c r="P2" s="8"/>
      <c r="Q2" s="1"/>
      <c r="R2" s="8"/>
      <c r="S2" s="15"/>
      <c r="T2" s="1"/>
    </row>
    <row r="3" spans="1:20" s="2" customFormat="1" ht="23" x14ac:dyDescent="0.35">
      <c r="A3" s="3" t="s">
        <v>1</v>
      </c>
      <c r="B3" s="1"/>
      <c r="C3" s="1"/>
      <c r="D3" s="8"/>
      <c r="E3" s="1"/>
      <c r="H3" s="15"/>
      <c r="I3" s="15"/>
      <c r="J3" s="15"/>
      <c r="K3" s="8"/>
      <c r="L3" s="1"/>
      <c r="M3" s="1"/>
      <c r="N3" s="1"/>
      <c r="O3" s="8"/>
      <c r="Q3" s="1"/>
      <c r="R3" s="8"/>
      <c r="S3" s="6"/>
      <c r="T3" s="4"/>
    </row>
    <row r="4" spans="1:20" s="24" customFormat="1" ht="59.5" customHeight="1" x14ac:dyDescent="0.35">
      <c r="A4" s="32" t="s">
        <v>2</v>
      </c>
      <c r="B4" s="33" t="s">
        <v>3</v>
      </c>
      <c r="C4" s="33" t="s">
        <v>4</v>
      </c>
      <c r="D4" s="33" t="s">
        <v>5</v>
      </c>
      <c r="E4" s="33" t="s">
        <v>6</v>
      </c>
      <c r="F4" s="33" t="s">
        <v>7</v>
      </c>
      <c r="G4" s="33" t="s">
        <v>8</v>
      </c>
      <c r="H4" s="33" t="s">
        <v>9</v>
      </c>
      <c r="I4" s="33" t="s">
        <v>10</v>
      </c>
      <c r="J4" s="33" t="s">
        <v>11</v>
      </c>
      <c r="K4" s="33" t="s">
        <v>12</v>
      </c>
      <c r="L4" s="33" t="s">
        <v>13</v>
      </c>
      <c r="M4" s="33" t="s">
        <v>14</v>
      </c>
      <c r="N4" s="33" t="s">
        <v>15</v>
      </c>
      <c r="O4" s="33" t="s">
        <v>16</v>
      </c>
      <c r="P4" s="33" t="s">
        <v>17</v>
      </c>
      <c r="Q4" s="33" t="s">
        <v>18</v>
      </c>
      <c r="R4" s="33" t="s">
        <v>19</v>
      </c>
      <c r="S4" s="34" t="s">
        <v>20</v>
      </c>
      <c r="T4" s="35" t="s">
        <v>21</v>
      </c>
    </row>
    <row r="5" spans="1:20" ht="126.65" customHeight="1" x14ac:dyDescent="0.35">
      <c r="A5" s="25" t="s">
        <v>22</v>
      </c>
      <c r="B5" s="5">
        <v>2003</v>
      </c>
      <c r="C5" s="5" t="s">
        <v>23</v>
      </c>
      <c r="D5" s="18">
        <v>12</v>
      </c>
      <c r="E5" s="5" t="s">
        <v>24</v>
      </c>
      <c r="F5" s="5" t="s">
        <v>25</v>
      </c>
      <c r="G5" s="5" t="s">
        <v>26</v>
      </c>
      <c r="H5" s="18">
        <v>30</v>
      </c>
      <c r="I5" s="18">
        <v>30</v>
      </c>
      <c r="J5" s="22">
        <f t="shared" ref="J5:J10" si="0">H5/I5</f>
        <v>1</v>
      </c>
      <c r="K5" s="9">
        <f>ROUND(O5/I5, -3)</f>
        <v>113000</v>
      </c>
      <c r="L5" s="5" t="s">
        <v>27</v>
      </c>
      <c r="M5" s="5" t="s">
        <v>28</v>
      </c>
      <c r="N5" s="5" t="s">
        <v>29</v>
      </c>
      <c r="O5" s="12">
        <v>3400000</v>
      </c>
      <c r="P5" s="9">
        <f>ROUND(2700000, -3)</f>
        <v>2700000</v>
      </c>
      <c r="Q5" s="21">
        <f>P5/O5</f>
        <v>0.79411764705882348</v>
      </c>
      <c r="R5" s="13">
        <f>P5/I5</f>
        <v>90000</v>
      </c>
      <c r="S5" s="16">
        <f>R5</f>
        <v>90000</v>
      </c>
      <c r="T5" s="26" t="s">
        <v>30</v>
      </c>
    </row>
    <row r="6" spans="1:20" ht="72.5" x14ac:dyDescent="0.35">
      <c r="A6" s="27" t="s">
        <v>31</v>
      </c>
      <c r="B6" s="5">
        <v>2017</v>
      </c>
      <c r="C6" s="5" t="s">
        <v>32</v>
      </c>
      <c r="D6" s="19">
        <f>30/1.75</f>
        <v>17.142857142857142</v>
      </c>
      <c r="E6" s="5" t="s">
        <v>33</v>
      </c>
      <c r="F6" s="5" t="s">
        <v>34</v>
      </c>
      <c r="G6" s="5" t="s">
        <v>35</v>
      </c>
      <c r="H6" s="18">
        <v>29</v>
      </c>
      <c r="I6" s="18">
        <v>30</v>
      </c>
      <c r="J6" s="22">
        <f t="shared" si="0"/>
        <v>0.96666666666666667</v>
      </c>
      <c r="K6" s="9">
        <f>ROUND(O6/I6, -3)</f>
        <v>353000</v>
      </c>
      <c r="L6" s="5" t="s">
        <v>36</v>
      </c>
      <c r="M6" s="5" t="s">
        <v>37</v>
      </c>
      <c r="N6" s="5" t="s">
        <v>38</v>
      </c>
      <c r="O6" s="28">
        <f>ROUND(10587150, -3)</f>
        <v>10587000</v>
      </c>
      <c r="P6" s="9">
        <f>ROUND(7364020, -3)</f>
        <v>7364000</v>
      </c>
      <c r="Q6" s="21">
        <f>7364020/O6</f>
        <v>0.69557192783602528</v>
      </c>
      <c r="R6" s="13">
        <f>ROUND(P6/I6, -3)</f>
        <v>245000</v>
      </c>
      <c r="S6" s="16">
        <f>ROUND((P6-3338020)/I6,  -3)</f>
        <v>134000</v>
      </c>
      <c r="T6" s="26" t="s">
        <v>39</v>
      </c>
    </row>
    <row r="7" spans="1:20" ht="58" x14ac:dyDescent="0.35">
      <c r="A7" s="25" t="s">
        <v>40</v>
      </c>
      <c r="B7" s="5" t="s">
        <v>41</v>
      </c>
      <c r="C7" s="5" t="s">
        <v>42</v>
      </c>
      <c r="D7" s="19">
        <f>I7/3.7</f>
        <v>19.72972972972973</v>
      </c>
      <c r="E7" s="5" t="s">
        <v>43</v>
      </c>
      <c r="F7" s="5" t="s">
        <v>34</v>
      </c>
      <c r="G7" s="5" t="s">
        <v>44</v>
      </c>
      <c r="H7" s="18">
        <v>30</v>
      </c>
      <c r="I7" s="18">
        <v>73</v>
      </c>
      <c r="J7" s="22">
        <f t="shared" si="0"/>
        <v>0.41095890410958902</v>
      </c>
      <c r="K7" s="9">
        <f>ROUND(P7/I7, -3)</f>
        <v>481000</v>
      </c>
      <c r="L7" s="5" t="s">
        <v>45</v>
      </c>
      <c r="M7" s="5" t="s">
        <v>46</v>
      </c>
      <c r="N7" s="5" t="s">
        <v>14</v>
      </c>
      <c r="O7" s="12">
        <f>ROUND(35162648, -3)</f>
        <v>35163000</v>
      </c>
      <c r="P7" s="9">
        <f>ROUND(9891000+400000+24830830, -3)</f>
        <v>35122000</v>
      </c>
      <c r="Q7" s="21">
        <f>P7/O7</f>
        <v>0.99883400164946112</v>
      </c>
      <c r="R7" s="13">
        <f>ROUND(O7/I7,  -3)</f>
        <v>482000</v>
      </c>
      <c r="S7" s="16">
        <f>ROUND((P7-24830830)/I7, -3)</f>
        <v>141000</v>
      </c>
      <c r="T7" s="26" t="s">
        <v>47</v>
      </c>
    </row>
    <row r="8" spans="1:20" ht="87" x14ac:dyDescent="0.35">
      <c r="A8" s="25" t="s">
        <v>48</v>
      </c>
      <c r="B8" s="5" t="s">
        <v>41</v>
      </c>
      <c r="C8" s="5" t="s">
        <v>49</v>
      </c>
      <c r="D8" s="19">
        <f>45/0.68</f>
        <v>66.17647058823529</v>
      </c>
      <c r="E8" s="5" t="s">
        <v>50</v>
      </c>
      <c r="F8" s="5" t="s">
        <v>34</v>
      </c>
      <c r="G8" s="5" t="s">
        <v>44</v>
      </c>
      <c r="H8" s="18">
        <v>18</v>
      </c>
      <c r="I8" s="18">
        <v>45</v>
      </c>
      <c r="J8" s="22">
        <f t="shared" si="0"/>
        <v>0.4</v>
      </c>
      <c r="K8" s="29">
        <f>ROUND(O8/I8, -3)</f>
        <v>780000</v>
      </c>
      <c r="L8" s="5" t="s">
        <v>51</v>
      </c>
      <c r="M8" s="5" t="s">
        <v>52</v>
      </c>
      <c r="N8" s="5" t="s">
        <v>14</v>
      </c>
      <c r="O8" s="9">
        <f>ROUND(35100000, -3)</f>
        <v>35100000</v>
      </c>
      <c r="P8" s="12">
        <f>ROUND(30145590, -3)</f>
        <v>30146000</v>
      </c>
      <c r="Q8" s="21">
        <f>P8/O8</f>
        <v>0.85886039886039889</v>
      </c>
      <c r="R8" s="13">
        <f>ROUND(P8/I8, -3)</f>
        <v>670000</v>
      </c>
      <c r="S8" s="16">
        <f>ROUND((P8-21349260)/I8, -3)</f>
        <v>195000</v>
      </c>
      <c r="T8" s="26" t="s">
        <v>53</v>
      </c>
    </row>
    <row r="9" spans="1:20" ht="58" x14ac:dyDescent="0.35">
      <c r="A9" s="25" t="s">
        <v>54</v>
      </c>
      <c r="B9" s="5" t="s">
        <v>55</v>
      </c>
      <c r="C9" s="5" t="s">
        <v>42</v>
      </c>
      <c r="D9" s="19">
        <f>I9/1.26</f>
        <v>52.38095238095238</v>
      </c>
      <c r="E9" s="5" t="s">
        <v>56</v>
      </c>
      <c r="F9" s="5" t="s">
        <v>34</v>
      </c>
      <c r="G9" s="5" t="s">
        <v>57</v>
      </c>
      <c r="H9" s="18">
        <v>28</v>
      </c>
      <c r="I9" s="18">
        <v>66</v>
      </c>
      <c r="J9" s="22">
        <f t="shared" si="0"/>
        <v>0.42424242424242425</v>
      </c>
      <c r="K9" s="9">
        <f>ROUND(O9/I9, -3)</f>
        <v>975000</v>
      </c>
      <c r="L9" s="5" t="s">
        <v>51</v>
      </c>
      <c r="M9" s="5" t="s">
        <v>58</v>
      </c>
      <c r="N9" s="5" t="s">
        <v>14</v>
      </c>
      <c r="O9" s="9">
        <f>ROUND(64368522, -3)</f>
        <v>64369000</v>
      </c>
      <c r="P9" s="30">
        <f>ROUND(O9-6568-9340758, -3)</f>
        <v>55022000</v>
      </c>
      <c r="Q9" s="22">
        <f>P9/O9</f>
        <v>0.854790349391788</v>
      </c>
      <c r="R9" s="13">
        <f>ROUND(P9/I9, -3)</f>
        <v>834000</v>
      </c>
      <c r="S9" s="16">
        <f>ROUND((P9-28621196)/I9, -3)</f>
        <v>400000</v>
      </c>
      <c r="T9" s="26" t="s">
        <v>59</v>
      </c>
    </row>
    <row r="10" spans="1:20" ht="87" x14ac:dyDescent="0.35">
      <c r="A10" s="25" t="s">
        <v>60</v>
      </c>
      <c r="B10" s="5" t="s">
        <v>61</v>
      </c>
      <c r="C10" s="5" t="s">
        <v>49</v>
      </c>
      <c r="D10" s="19">
        <f>50/3.47</f>
        <v>14.40922190201729</v>
      </c>
      <c r="E10" s="5" t="s">
        <v>50</v>
      </c>
      <c r="F10" s="5" t="s">
        <v>34</v>
      </c>
      <c r="G10" s="5" t="s">
        <v>44</v>
      </c>
      <c r="H10" s="18">
        <v>49</v>
      </c>
      <c r="I10" s="18">
        <v>50</v>
      </c>
      <c r="J10" s="22">
        <f t="shared" si="0"/>
        <v>0.98</v>
      </c>
      <c r="K10" s="31">
        <f>O10/I10</f>
        <v>676000</v>
      </c>
      <c r="L10" s="5" t="s">
        <v>45</v>
      </c>
      <c r="M10" s="5" t="s">
        <v>62</v>
      </c>
      <c r="N10" s="5" t="s">
        <v>14</v>
      </c>
      <c r="O10" s="12">
        <f>ROUND(33800000, -3)</f>
        <v>33800000</v>
      </c>
      <c r="P10" s="30">
        <v>29400000</v>
      </c>
      <c r="Q10" s="22">
        <f>P10/O10</f>
        <v>0.86982248520710059</v>
      </c>
      <c r="R10" s="13">
        <f>ROUND(P10/I10, -3)</f>
        <v>588000</v>
      </c>
      <c r="S10" s="16">
        <f>ROUND((P10)/I10, -3)</f>
        <v>588000</v>
      </c>
      <c r="T10" s="26" t="s">
        <v>63</v>
      </c>
    </row>
    <row r="11" spans="1:20" x14ac:dyDescent="0.35">
      <c r="B11" s="6"/>
      <c r="C11" s="6"/>
      <c r="E11" s="6"/>
      <c r="F11" s="6"/>
      <c r="G11" s="23"/>
      <c r="L11" s="6"/>
      <c r="M11" s="6"/>
      <c r="N11" s="6"/>
      <c r="Q11" s="6"/>
      <c r="T11" s="6"/>
    </row>
    <row r="12" spans="1:20" x14ac:dyDescent="0.35">
      <c r="B12" s="6"/>
      <c r="C12" s="6"/>
      <c r="E12" s="6"/>
      <c r="F12" s="6"/>
      <c r="G12" s="23"/>
      <c r="L12" s="6"/>
      <c r="M12" s="6"/>
      <c r="N12" s="6"/>
      <c r="Q12" s="6"/>
      <c r="T12" s="6"/>
    </row>
    <row r="13" spans="1:20" x14ac:dyDescent="0.35">
      <c r="A13" s="6"/>
      <c r="B13" s="6"/>
      <c r="C13" s="6"/>
      <c r="E13" s="6"/>
      <c r="F13" s="6"/>
      <c r="G13" s="23"/>
      <c r="L13" s="6"/>
      <c r="M13" s="6"/>
      <c r="N13" s="6"/>
      <c r="Q13" s="6"/>
      <c r="T13" s="6"/>
    </row>
    <row r="14" spans="1:20" ht="23" x14ac:dyDescent="0.35">
      <c r="A14" s="7" t="s">
        <v>64</v>
      </c>
      <c r="B14" s="6"/>
      <c r="C14" s="6"/>
      <c r="E14" s="6"/>
      <c r="F14" s="6"/>
      <c r="G14" s="23"/>
      <c r="L14" s="6"/>
      <c r="M14" s="6"/>
      <c r="N14" s="6"/>
      <c r="Q14" s="6"/>
      <c r="T14" s="6"/>
    </row>
    <row r="15" spans="1:20" s="6" customFormat="1" ht="43.5" x14ac:dyDescent="0.35">
      <c r="A15" s="32" t="s">
        <v>2</v>
      </c>
      <c r="B15" s="33" t="s">
        <v>3</v>
      </c>
      <c r="C15" s="33" t="s">
        <v>4</v>
      </c>
      <c r="D15" s="33" t="s">
        <v>5</v>
      </c>
      <c r="E15" s="33" t="s">
        <v>6</v>
      </c>
      <c r="F15" s="33" t="s">
        <v>7</v>
      </c>
      <c r="G15" s="33" t="s">
        <v>8</v>
      </c>
      <c r="H15" s="33" t="s">
        <v>9</v>
      </c>
      <c r="I15" s="33" t="s">
        <v>10</v>
      </c>
      <c r="J15" s="33" t="s">
        <v>11</v>
      </c>
      <c r="K15" s="33" t="s">
        <v>12</v>
      </c>
      <c r="L15" s="33" t="s">
        <v>13</v>
      </c>
      <c r="M15" s="33" t="s">
        <v>14</v>
      </c>
      <c r="N15" s="33" t="s">
        <v>15</v>
      </c>
      <c r="O15" s="33" t="s">
        <v>16</v>
      </c>
      <c r="P15" s="33" t="s">
        <v>17</v>
      </c>
      <c r="Q15" s="33" t="s">
        <v>18</v>
      </c>
      <c r="R15" s="33" t="s">
        <v>19</v>
      </c>
      <c r="S15" s="34" t="s">
        <v>20</v>
      </c>
      <c r="T15" s="35" t="s">
        <v>21</v>
      </c>
    </row>
    <row r="16" spans="1:20" ht="87" x14ac:dyDescent="0.35">
      <c r="A16" s="25" t="s">
        <v>65</v>
      </c>
      <c r="B16" s="5" t="s">
        <v>66</v>
      </c>
      <c r="C16" s="5" t="s">
        <v>67</v>
      </c>
      <c r="D16" s="18" t="s">
        <v>68</v>
      </c>
      <c r="E16" s="5" t="s">
        <v>69</v>
      </c>
      <c r="F16" s="5" t="s">
        <v>34</v>
      </c>
      <c r="G16" s="5" t="s">
        <v>70</v>
      </c>
      <c r="H16" s="18">
        <v>24</v>
      </c>
      <c r="I16" s="18">
        <v>24</v>
      </c>
      <c r="J16" s="17">
        <f t="shared" ref="J16:J17" si="1">H16/I16</f>
        <v>1</v>
      </c>
      <c r="K16" s="9">
        <f>ROUND(O16/I16, -3)</f>
        <v>238000</v>
      </c>
      <c r="L16" s="5" t="s">
        <v>71</v>
      </c>
      <c r="M16" s="5" t="s">
        <v>72</v>
      </c>
      <c r="N16" s="5" t="s">
        <v>14</v>
      </c>
      <c r="O16" s="9">
        <f>ROUND(5713440, -3)</f>
        <v>5713000</v>
      </c>
      <c r="P16" s="11">
        <f>ROUND(3790337+1400000+172975, -3)</f>
        <v>5363000</v>
      </c>
      <c r="Q16" s="20">
        <f>P16/O16</f>
        <v>0.93873621564852094</v>
      </c>
      <c r="R16" s="14">
        <f>ROUND(P16/I16, -3)</f>
        <v>223000</v>
      </c>
      <c r="S16" s="16">
        <f>ROUND(R16, -3)</f>
        <v>223000</v>
      </c>
      <c r="T16" s="26" t="s">
        <v>73</v>
      </c>
    </row>
    <row r="17" spans="1:20" ht="101.5" x14ac:dyDescent="0.35">
      <c r="A17" s="25" t="s">
        <v>74</v>
      </c>
      <c r="B17" s="5" t="s">
        <v>41</v>
      </c>
      <c r="C17" s="5" t="s">
        <v>75</v>
      </c>
      <c r="D17" s="19">
        <f>66/2.9</f>
        <v>22.758620689655174</v>
      </c>
      <c r="E17" s="5" t="s">
        <v>76</v>
      </c>
      <c r="F17" s="5" t="s">
        <v>34</v>
      </c>
      <c r="G17" s="5" t="s">
        <v>44</v>
      </c>
      <c r="H17" s="18">
        <v>39</v>
      </c>
      <c r="I17" s="18">
        <v>66</v>
      </c>
      <c r="J17" s="17">
        <f t="shared" si="1"/>
        <v>0.59090909090909094</v>
      </c>
      <c r="K17" s="9">
        <f>ROUND(O17/I17, -3)</f>
        <v>433000</v>
      </c>
      <c r="L17" s="5" t="s">
        <v>51</v>
      </c>
      <c r="M17" s="5" t="s">
        <v>77</v>
      </c>
      <c r="N17" s="5" t="s">
        <v>78</v>
      </c>
      <c r="O17" s="11">
        <f>ROUND(28585553, -3)</f>
        <v>28586000</v>
      </c>
      <c r="P17" s="9">
        <f>ROUND('[1]Detailed Financing Sheet'!C29, -3)</f>
        <v>26699000</v>
      </c>
      <c r="Q17" s="21">
        <f>P17/O17</f>
        <v>0.93398866578045192</v>
      </c>
      <c r="R17" s="14">
        <f>ROUND(P17/I17, -3)</f>
        <v>405000</v>
      </c>
      <c r="S17" s="16">
        <f>ROUND((P17-9903448)/I17, -3)</f>
        <v>254000</v>
      </c>
      <c r="T17" s="26" t="s">
        <v>79</v>
      </c>
    </row>
    <row r="18" spans="1:20" x14ac:dyDescent="0.35">
      <c r="T18" s="4" t="s">
        <v>80</v>
      </c>
    </row>
    <row r="19" spans="1:20" x14ac:dyDescent="0.35">
      <c r="A19" s="24" t="s">
        <v>81</v>
      </c>
    </row>
    <row r="20" spans="1:20" x14ac:dyDescent="0.35">
      <c r="A20" s="4" t="s">
        <v>82</v>
      </c>
    </row>
  </sheetData>
  <pageMargins left="0.25" right="0.25" top="0.75" bottom="0.75" header="0.3" footer="0.3"/>
  <pageSetup paperSize="119" scale="31" orientation="landscape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7E7D6CEE89D040960413B7375B7DEF" ma:contentTypeVersion="6" ma:contentTypeDescription="Create a new document." ma:contentTypeScope="" ma:versionID="54f002ac772cce6e1f23740a4eb5f87b">
  <xsd:schema xmlns:xsd="http://www.w3.org/2001/XMLSchema" xmlns:xs="http://www.w3.org/2001/XMLSchema" xmlns:p="http://schemas.microsoft.com/office/2006/metadata/properties" xmlns:ns2="d1249410-c814-4a81-a8ba-67edbdd98074" xmlns:ns3="f51295b5-f115-4c5d-98d5-049f7e0a3e4b" targetNamespace="http://schemas.microsoft.com/office/2006/metadata/properties" ma:root="true" ma:fieldsID="b78833b757b5cbaa3fa571e87f562f86" ns2:_="" ns3:_="">
    <xsd:import namespace="d1249410-c814-4a81-a8ba-67edbdd98074"/>
    <xsd:import namespace="f51295b5-f115-4c5d-98d5-049f7e0a3e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49410-c814-4a81-a8ba-67edbdd98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1295b5-f115-4c5d-98d5-049f7e0a3e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C8D378-FC50-4649-8117-E056C6D79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1D1142-DB3E-4B83-A27F-C68C7888E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249410-c814-4a81-a8ba-67edbdd98074"/>
    <ds:schemaRef ds:uri="f51295b5-f115-4c5d-98d5-049f7e0a3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CC0939-B879-47C8-8950-203015B2FD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MATRIX</vt:lpstr>
      <vt:lpstr>MATRIX!_FilterDatabase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 Kim</dc:creator>
  <cp:keywords/>
  <dc:description/>
  <cp:lastModifiedBy>Clair A. McDevitt</cp:lastModifiedBy>
  <cp:revision/>
  <dcterms:created xsi:type="dcterms:W3CDTF">2023-11-21T17:22:42Z</dcterms:created>
  <dcterms:modified xsi:type="dcterms:W3CDTF">2024-02-27T23:15:03Z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0x010100627E7D6CEE89D040960413B7375B7DEF</vt:lpwstr>
  </property>
</Properties>
</file>