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hidePivotFieldList="1" autoCompressPictures="0" defaultThemeVersion="124226"/>
  <mc:AlternateContent xmlns:mc="http://schemas.openxmlformats.org/markup-compatibility/2006">
    <mc:Choice Requires="x15">
      <x15ac:absPath xmlns:x15ac="http://schemas.microsoft.com/office/spreadsheetml/2010/11/ac" url="https://perkinswillinc.sharepoint.com/sites/msteams_4d5cde/Shared Documents/General/11 Draft Text/2_Parking Database/"/>
    </mc:Choice>
  </mc:AlternateContent>
  <xr:revisionPtr revIDLastSave="182" documentId="13_ncr:1_{83ECEFE1-1F54-4D50-B339-C9B0D9741E95}" xr6:coauthVersionLast="47" xr6:coauthVersionMax="47" xr10:uidLastSave="{03367900-45B5-44CE-BA0F-163F3D13A5FA}"/>
  <bookViews>
    <workbookView xWindow="-120" yWindow="-120" windowWidth="29040" windowHeight="15840" tabRatio="666" xr2:uid="{00000000-000D-0000-FFFF-FFFF00000000}"/>
  </bookViews>
  <sheets>
    <sheet name="Citywide Spotlight" sheetId="11" r:id="rId1"/>
    <sheet name="Citywide Standards" sheetId="7" r:id="rId2"/>
    <sheet name="Special District Spotlight" sheetId="17" r:id="rId3"/>
    <sheet name="Special Districts" sheetId="8" r:id="rId4"/>
    <sheet name="Key" sheetId="9" r:id="rId5"/>
    <sheet name="Population" sheetId="14" r:id="rId6"/>
  </sheets>
  <definedNames>
    <definedName name="_xlnm._FilterDatabase" localSheetId="0" hidden="1">'Citywide Spotlight'!$A$2:$N$39</definedName>
    <definedName name="_xlnm._FilterDatabase" localSheetId="1" hidden="1">'Citywide Standards'!$A$2:$AZ$60</definedName>
    <definedName name="_xlnm._FilterDatabase" localSheetId="5" hidden="1">Population!$A$1:$D$103</definedName>
    <definedName name="_xlnm._FilterDatabase" localSheetId="2" hidden="1">'Special District Spotlight'!$A$2:$C$39</definedName>
    <definedName name="_xlnm._FilterDatabase" localSheetId="3" hidden="1">'Special Districts'!$A$2:$AB$36</definedName>
    <definedName name="_xlnm.Print_Area" localSheetId="0">'Citywide Spotlight'!$A$1:$N$39</definedName>
    <definedName name="_xlnm.Print_Area" localSheetId="1">'Citywide Standards'!$C$1:$AZ$60</definedName>
    <definedName name="_xlnm.Print_Area" localSheetId="4">Key!$A$1:$L$9</definedName>
    <definedName name="_xlnm.Print_Area" localSheetId="2">'Special District Spotlight'!$A$1:$C$39</definedName>
    <definedName name="_xlnm.Print_Area" localSheetId="3">'Special Districts'!$D$1:$AB$34</definedName>
    <definedName name="_xlnm.Print_Titles" localSheetId="0">'Citywide Spotlight'!$B:$D,'Citywide Spotlight'!$1:$2</definedName>
    <definedName name="_xlnm.Print_Titles" localSheetId="1">'Citywide Standards'!$E:$G,'Citywide Standards'!$1:$2</definedName>
    <definedName name="_xlnm.Print_Titles" localSheetId="2">'Special District Spotlight'!$B:$C,'Special District Spotlight'!$1:$2</definedName>
    <definedName name="_xlnm.Print_Titles" localSheetId="3">'Special Districts'!$D:$E,'Special Districts'!$1:$1</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7" l="1"/>
  <c r="M4" i="17"/>
  <c r="M5" i="17"/>
  <c r="M6" i="17"/>
  <c r="M7" i="17"/>
  <c r="M8" i="17"/>
  <c r="M9" i="17"/>
  <c r="M10" i="17"/>
  <c r="M11" i="17"/>
  <c r="M12" i="17"/>
  <c r="M13" i="17"/>
  <c r="M14" i="17"/>
  <c r="M15" i="17"/>
  <c r="M16" i="17"/>
  <c r="M17" i="17"/>
  <c r="M18" i="17"/>
  <c r="M19" i="17"/>
  <c r="M20" i="17"/>
  <c r="M21" i="17"/>
  <c r="M22" i="17"/>
  <c r="M23" i="17"/>
  <c r="M24" i="17"/>
  <c r="M25" i="17"/>
  <c r="M26" i="17"/>
  <c r="M27" i="17"/>
  <c r="M28" i="17"/>
  <c r="M29" i="17"/>
  <c r="M30" i="17"/>
  <c r="M31" i="17"/>
  <c r="M32" i="17"/>
  <c r="M33" i="17"/>
  <c r="M34" i="17"/>
  <c r="M35" i="17"/>
  <c r="M36" i="17"/>
  <c r="M3" i="17"/>
  <c r="L4" i="17"/>
  <c r="L5" i="17"/>
  <c r="L6" i="17"/>
  <c r="L7" i="17"/>
  <c r="L8" i="17"/>
  <c r="L9" i="17"/>
  <c r="L10" i="17"/>
  <c r="L11" i="17"/>
  <c r="L12" i="17"/>
  <c r="L13" i="17"/>
  <c r="L14" i="17"/>
  <c r="L15" i="17"/>
  <c r="L16" i="17"/>
  <c r="L17" i="17"/>
  <c r="L18" i="17"/>
  <c r="L19" i="17"/>
  <c r="L20" i="17"/>
  <c r="L21" i="17"/>
  <c r="L22" i="17"/>
  <c r="L23" i="17"/>
  <c r="L24" i="17"/>
  <c r="L25" i="17"/>
  <c r="L26" i="17"/>
  <c r="L27" i="17"/>
  <c r="L28" i="17"/>
  <c r="L29" i="17"/>
  <c r="L30" i="17"/>
  <c r="L31" i="17"/>
  <c r="L32" i="17"/>
  <c r="L33" i="17"/>
  <c r="L34" i="17"/>
  <c r="L35" i="17"/>
  <c r="L36" i="17"/>
  <c r="K4" i="17"/>
  <c r="K5" i="17"/>
  <c r="K6" i="17"/>
  <c r="K7" i="17"/>
  <c r="K8" i="17"/>
  <c r="K9" i="17"/>
  <c r="K10" i="17"/>
  <c r="K11" i="17"/>
  <c r="K12" i="17"/>
  <c r="K13" i="17"/>
  <c r="K14" i="17"/>
  <c r="K15" i="17"/>
  <c r="K16" i="17"/>
  <c r="K17" i="17"/>
  <c r="K18" i="17"/>
  <c r="K19" i="17"/>
  <c r="K20" i="17"/>
  <c r="K21" i="17"/>
  <c r="K22" i="17"/>
  <c r="K23" i="17"/>
  <c r="K24" i="17"/>
  <c r="K25" i="17"/>
  <c r="K26" i="17"/>
  <c r="K27" i="17"/>
  <c r="K28" i="17"/>
  <c r="K29" i="17"/>
  <c r="K30" i="17"/>
  <c r="K31" i="17"/>
  <c r="K32" i="17"/>
  <c r="K33" i="17"/>
  <c r="K34" i="17"/>
  <c r="K35" i="17"/>
  <c r="K36" i="17"/>
  <c r="L3" i="17"/>
  <c r="K3" i="17"/>
  <c r="J13" i="17"/>
  <c r="J4" i="17"/>
  <c r="J5" i="17"/>
  <c r="J6" i="17"/>
  <c r="J7" i="17"/>
  <c r="J8" i="17"/>
  <c r="J9" i="17"/>
  <c r="J10" i="17"/>
  <c r="J11" i="17"/>
  <c r="J12" i="17"/>
  <c r="J14" i="17"/>
  <c r="J15" i="17"/>
  <c r="J16" i="17"/>
  <c r="J17" i="17"/>
  <c r="J18" i="17"/>
  <c r="J19" i="17"/>
  <c r="J20" i="17"/>
  <c r="J21" i="17"/>
  <c r="J22" i="17"/>
  <c r="J23" i="17"/>
  <c r="J24" i="17"/>
  <c r="J25" i="17"/>
  <c r="J26" i="17"/>
  <c r="J27" i="17"/>
  <c r="J28" i="17"/>
  <c r="J29" i="17"/>
  <c r="J30" i="17"/>
  <c r="J31" i="17"/>
  <c r="J32" i="17"/>
  <c r="J33" i="17"/>
  <c r="J34" i="17"/>
  <c r="J35" i="17"/>
  <c r="J36" i="17"/>
  <c r="J3" i="17"/>
  <c r="I4" i="17"/>
  <c r="I5" i="17"/>
  <c r="I6" i="17"/>
  <c r="I7" i="17"/>
  <c r="I8" i="17"/>
  <c r="I9" i="17"/>
  <c r="I10" i="17"/>
  <c r="I11" i="17"/>
  <c r="I12" i="17"/>
  <c r="I13" i="17"/>
  <c r="I14" i="17"/>
  <c r="I15" i="17"/>
  <c r="I16" i="17"/>
  <c r="I17" i="17"/>
  <c r="I18" i="17"/>
  <c r="I19" i="17"/>
  <c r="I20" i="17"/>
  <c r="I21" i="17"/>
  <c r="I22" i="17"/>
  <c r="I23" i="17"/>
  <c r="I24" i="17"/>
  <c r="I25" i="17"/>
  <c r="I26" i="17"/>
  <c r="I27" i="17"/>
  <c r="I28" i="17"/>
  <c r="I29" i="17"/>
  <c r="I30" i="17"/>
  <c r="I31" i="17"/>
  <c r="I32" i="17"/>
  <c r="I33" i="17"/>
  <c r="I34" i="17"/>
  <c r="I35" i="17"/>
  <c r="I36" i="17"/>
  <c r="I3" i="17"/>
  <c r="H4" i="17"/>
  <c r="H5" i="17"/>
  <c r="H6" i="17"/>
  <c r="H7" i="17"/>
  <c r="H8" i="17"/>
  <c r="H9" i="17"/>
  <c r="H10" i="17"/>
  <c r="H11" i="17"/>
  <c r="H12" i="17"/>
  <c r="H13" i="17"/>
  <c r="H14" i="17"/>
  <c r="H15" i="17"/>
  <c r="H16" i="17"/>
  <c r="H17" i="17"/>
  <c r="H18" i="17"/>
  <c r="H19" i="17"/>
  <c r="H20" i="17"/>
  <c r="H21" i="17"/>
  <c r="H22" i="17"/>
  <c r="H23" i="17"/>
  <c r="H24" i="17"/>
  <c r="H25" i="17"/>
  <c r="H26" i="17"/>
  <c r="H27" i="17"/>
  <c r="H28" i="17"/>
  <c r="H29" i="17"/>
  <c r="H30" i="17"/>
  <c r="H31" i="17"/>
  <c r="H32" i="17"/>
  <c r="H33" i="17"/>
  <c r="H34" i="17"/>
  <c r="H35" i="17"/>
  <c r="H36" i="17"/>
  <c r="H3" i="17"/>
  <c r="G4" i="17"/>
  <c r="G5" i="17"/>
  <c r="G6" i="17"/>
  <c r="G7" i="17"/>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 i="17"/>
  <c r="F4" i="17"/>
  <c r="F5" i="17"/>
  <c r="F6" i="17"/>
  <c r="F7" i="17"/>
  <c r="F8" i="17"/>
  <c r="F9" i="17"/>
  <c r="F11" i="17"/>
  <c r="F12" i="17"/>
  <c r="F13" i="17"/>
  <c r="F14" i="17"/>
  <c r="F15" i="17"/>
  <c r="F16" i="17"/>
  <c r="F17" i="17"/>
  <c r="F18" i="17"/>
  <c r="F19" i="17"/>
  <c r="F20" i="17"/>
  <c r="F21" i="17"/>
  <c r="F22" i="17"/>
  <c r="F23" i="17"/>
  <c r="F24" i="17"/>
  <c r="F25" i="17"/>
  <c r="F26" i="17"/>
  <c r="F27" i="17"/>
  <c r="F28" i="17"/>
  <c r="F29" i="17"/>
  <c r="F30" i="17"/>
  <c r="F31" i="17"/>
  <c r="F32" i="17"/>
  <c r="F33" i="17"/>
  <c r="F34" i="17"/>
  <c r="F35" i="17"/>
  <c r="F36" i="17"/>
  <c r="F3" i="17"/>
  <c r="E4" i="17"/>
  <c r="E5" i="17"/>
  <c r="E6" i="17"/>
  <c r="E7" i="17"/>
  <c r="E8" i="17"/>
  <c r="E9" i="17"/>
  <c r="E10" i="17"/>
  <c r="E11" i="17"/>
  <c r="E12" i="17"/>
  <c r="E13" i="17"/>
  <c r="E14" i="17"/>
  <c r="E15" i="17"/>
  <c r="E16" i="17"/>
  <c r="E17" i="17"/>
  <c r="E18" i="17"/>
  <c r="E19" i="17"/>
  <c r="E20" i="17"/>
  <c r="E21" i="17"/>
  <c r="E22" i="17"/>
  <c r="E23" i="17"/>
  <c r="E24" i="17"/>
  <c r="E25" i="17"/>
  <c r="E26" i="17"/>
  <c r="E27" i="17"/>
  <c r="E28" i="17"/>
  <c r="E29" i="17"/>
  <c r="E30" i="17"/>
  <c r="E31" i="17"/>
  <c r="E32" i="17"/>
  <c r="E33" i="17"/>
  <c r="E34" i="17"/>
  <c r="E35" i="17"/>
  <c r="E36" i="17"/>
  <c r="E3" i="17"/>
  <c r="D4" i="17"/>
  <c r="D5" i="17"/>
  <c r="D6" i="17"/>
  <c r="D7" i="17"/>
  <c r="D8" i="17"/>
  <c r="D9" i="17"/>
  <c r="D10" i="17"/>
  <c r="D11" i="17"/>
  <c r="D12" i="17"/>
  <c r="D13" i="17"/>
  <c r="D14" i="17"/>
  <c r="D15" i="17"/>
  <c r="D16" i="17"/>
  <c r="D17" i="17"/>
  <c r="D18" i="17"/>
  <c r="D19" i="17"/>
  <c r="D20" i="17"/>
  <c r="D21" i="17"/>
  <c r="D22" i="17"/>
  <c r="D23" i="17"/>
  <c r="D24" i="17"/>
  <c r="D25" i="17"/>
  <c r="D26" i="17"/>
  <c r="D27" i="17"/>
  <c r="D28" i="17"/>
  <c r="D29" i="17"/>
  <c r="D30" i="17"/>
  <c r="D31" i="17"/>
  <c r="D32" i="17"/>
  <c r="D33" i="17"/>
  <c r="D34" i="17"/>
  <c r="D35" i="17"/>
  <c r="D36" i="17"/>
  <c r="D3" i="17"/>
  <c r="E3" i="11"/>
  <c r="U6" i="7"/>
  <c r="N42" i="11"/>
  <c r="N41" i="11"/>
  <c r="N40" i="11"/>
  <c r="N39" i="11"/>
  <c r="N38" i="11"/>
  <c r="N37" i="11"/>
  <c r="N36" i="11"/>
  <c r="N35" i="11"/>
  <c r="N34" i="11"/>
  <c r="N33" i="11"/>
  <c r="N32" i="11"/>
  <c r="N31" i="11"/>
  <c r="N30" i="11"/>
  <c r="N29" i="11"/>
  <c r="N28" i="11"/>
  <c r="N27" i="11"/>
  <c r="N26" i="11"/>
  <c r="N25" i="11"/>
  <c r="N24" i="11"/>
  <c r="N23" i="11"/>
  <c r="N22" i="11"/>
  <c r="N21" i="11"/>
  <c r="N20" i="11"/>
  <c r="N19" i="11"/>
  <c r="N18" i="11"/>
  <c r="N17" i="11"/>
  <c r="N16" i="11"/>
  <c r="N15" i="11"/>
  <c r="N14" i="11"/>
  <c r="N13" i="11"/>
  <c r="N12" i="11"/>
  <c r="N11" i="11"/>
  <c r="N10" i="11"/>
  <c r="N9" i="11"/>
  <c r="N8" i="11"/>
  <c r="N7" i="11"/>
  <c r="N6" i="11"/>
  <c r="N5" i="11"/>
  <c r="N4" i="11"/>
  <c r="N3" i="11"/>
  <c r="M17" i="8"/>
  <c r="L17" i="8"/>
  <c r="Q29" i="7"/>
  <c r="Q54" i="7"/>
  <c r="Q43" i="7"/>
  <c r="Q13" i="7"/>
  <c r="Q9" i="7"/>
  <c r="R46" i="7"/>
  <c r="V46" i="7"/>
  <c r="L4" i="11"/>
  <c r="L5" i="11"/>
  <c r="L6" i="11"/>
  <c r="L7" i="11"/>
  <c r="L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3" i="11"/>
  <c r="M4" i="11"/>
  <c r="M5" i="11"/>
  <c r="M6" i="11"/>
  <c r="M7" i="11"/>
  <c r="M8" i="11"/>
  <c r="M9" i="11"/>
  <c r="M10" i="11"/>
  <c r="M11" i="11"/>
  <c r="M12" i="11"/>
  <c r="M13" i="11"/>
  <c r="M14" i="11"/>
  <c r="M15" i="11"/>
  <c r="M16" i="11"/>
  <c r="M17" i="11"/>
  <c r="M18" i="11"/>
  <c r="M19" i="11"/>
  <c r="M20" i="11"/>
  <c r="M21" i="11"/>
  <c r="M22" i="11"/>
  <c r="M23" i="11"/>
  <c r="M24" i="11"/>
  <c r="M25" i="11"/>
  <c r="M26" i="11"/>
  <c r="M27" i="11"/>
  <c r="M28" i="11"/>
  <c r="M29" i="11"/>
  <c r="M30" i="11"/>
  <c r="M31" i="11"/>
  <c r="M32" i="11"/>
  <c r="M33" i="11"/>
  <c r="M34" i="11"/>
  <c r="M35" i="11"/>
  <c r="M36" i="11"/>
  <c r="M37" i="11"/>
  <c r="M38" i="11"/>
  <c r="M39" i="11"/>
  <c r="M40" i="11"/>
  <c r="M41" i="11"/>
  <c r="M42" i="11"/>
  <c r="M3" i="11"/>
  <c r="U21" i="7"/>
  <c r="G16" i="11"/>
  <c r="G34" i="11"/>
  <c r="G28" i="11"/>
  <c r="U39" i="7"/>
  <c r="G27" i="11"/>
  <c r="U31" i="7"/>
  <c r="G23" i="11"/>
  <c r="U28" i="7"/>
  <c r="G20" i="11"/>
  <c r="U29" i="7"/>
  <c r="G21" i="11"/>
  <c r="U30" i="7"/>
  <c r="G22" i="11"/>
  <c r="U59" i="7"/>
  <c r="G41" i="11"/>
  <c r="U9" i="7"/>
  <c r="G8" i="11"/>
  <c r="G42" i="11"/>
  <c r="G4" i="11"/>
  <c r="G13" i="11"/>
  <c r="G15" i="11"/>
  <c r="U58" i="7"/>
  <c r="G40" i="11"/>
  <c r="U26" i="7"/>
  <c r="G19" i="11"/>
  <c r="U36" i="7"/>
  <c r="G25" i="11"/>
  <c r="G18" i="11"/>
  <c r="U8" i="7"/>
  <c r="G7" i="11"/>
  <c r="U18" i="7"/>
  <c r="G14" i="11"/>
  <c r="G17" i="11"/>
  <c r="G26" i="11"/>
  <c r="U43" i="7"/>
  <c r="G30" i="11"/>
  <c r="G36" i="11"/>
  <c r="U12" i="7"/>
  <c r="G9" i="11"/>
  <c r="G29" i="11"/>
  <c r="U13" i="7"/>
  <c r="G10" i="11"/>
  <c r="G3" i="11"/>
  <c r="U54" i="7"/>
  <c r="G38" i="11"/>
  <c r="U50" i="7"/>
  <c r="G35" i="11"/>
  <c r="U15" i="7"/>
  <c r="G11" i="11"/>
  <c r="U53" i="7"/>
  <c r="G37" i="11"/>
  <c r="G31" i="11"/>
  <c r="U16" i="7"/>
  <c r="G12" i="11"/>
  <c r="U33" i="7"/>
  <c r="G24" i="11"/>
  <c r="G39" i="11"/>
  <c r="U47" i="7"/>
  <c r="G33" i="11"/>
  <c r="G6" i="11"/>
  <c r="G32" i="11"/>
  <c r="G5" i="11"/>
  <c r="Q21" i="7"/>
  <c r="F16" i="11"/>
  <c r="F34" i="11"/>
  <c r="F28" i="11"/>
  <c r="F27" i="11"/>
  <c r="Q31" i="7"/>
  <c r="F23" i="11"/>
  <c r="F20" i="11"/>
  <c r="F21" i="11"/>
  <c r="Q30" i="7"/>
  <c r="F22" i="11"/>
  <c r="Q59" i="7"/>
  <c r="F41" i="11"/>
  <c r="F8" i="11"/>
  <c r="F42" i="11"/>
  <c r="F4" i="11"/>
  <c r="F13" i="11"/>
  <c r="F15" i="11"/>
  <c r="Q58" i="7"/>
  <c r="F40" i="11"/>
  <c r="Q26" i="7"/>
  <c r="F19" i="11"/>
  <c r="Q36" i="7"/>
  <c r="F25" i="11"/>
  <c r="F18" i="11"/>
  <c r="Q8" i="7"/>
  <c r="F7" i="11"/>
  <c r="Q18" i="7"/>
  <c r="F14" i="11"/>
  <c r="F17" i="11"/>
  <c r="Q38" i="7"/>
  <c r="F26" i="11"/>
  <c r="F30" i="11"/>
  <c r="F36" i="11"/>
  <c r="F9" i="11"/>
  <c r="F29" i="11"/>
  <c r="F10" i="11"/>
  <c r="F3" i="11"/>
  <c r="F38" i="11"/>
  <c r="Q50" i="7"/>
  <c r="F35" i="11"/>
  <c r="Q15" i="7"/>
  <c r="F11" i="11"/>
  <c r="Q53" i="7"/>
  <c r="F37" i="11"/>
  <c r="F31" i="11"/>
  <c r="Q16" i="7"/>
  <c r="F12" i="11"/>
  <c r="F24" i="11"/>
  <c r="F39" i="11"/>
  <c r="Q47" i="7"/>
  <c r="F33" i="11"/>
  <c r="F6" i="11"/>
  <c r="F32" i="11"/>
  <c r="Q6" i="7"/>
  <c r="F5" i="11"/>
  <c r="E16" i="11"/>
  <c r="E34" i="11"/>
  <c r="E28" i="11"/>
  <c r="E27" i="11"/>
  <c r="E23" i="11"/>
  <c r="E20" i="11"/>
  <c r="E21" i="11"/>
  <c r="E22" i="11"/>
  <c r="E41" i="11"/>
  <c r="E8" i="11"/>
  <c r="E42" i="11"/>
  <c r="E4" i="11"/>
  <c r="E13" i="11"/>
  <c r="E15" i="11"/>
  <c r="E40" i="11"/>
  <c r="E19" i="11"/>
  <c r="E25" i="11"/>
  <c r="E18" i="11"/>
  <c r="E7" i="11"/>
  <c r="E14" i="11"/>
  <c r="E17" i="11"/>
  <c r="E26" i="11"/>
  <c r="E30" i="11"/>
  <c r="E36" i="11"/>
  <c r="E9" i="11"/>
  <c r="E29" i="11"/>
  <c r="E10" i="11"/>
  <c r="E38" i="11"/>
  <c r="E35" i="11"/>
  <c r="E11" i="11"/>
  <c r="E37" i="11"/>
  <c r="E31" i="11"/>
  <c r="E12" i="11"/>
  <c r="E24" i="11"/>
  <c r="E39" i="11"/>
  <c r="E33" i="11"/>
  <c r="E6" i="11"/>
  <c r="E32" i="11"/>
  <c r="E5" i="11"/>
  <c r="F60" i="7"/>
  <c r="C42" i="11"/>
  <c r="F49" i="7"/>
  <c r="C34" i="11"/>
  <c r="G49" i="7"/>
  <c r="D34" i="11"/>
  <c r="H34" i="11"/>
  <c r="I34" i="11"/>
  <c r="J34" i="11"/>
  <c r="K34" i="11"/>
  <c r="G60" i="7"/>
  <c r="D42" i="11"/>
  <c r="H42" i="11"/>
  <c r="I42" i="11"/>
  <c r="J42" i="11"/>
  <c r="K42" i="11"/>
  <c r="F25" i="7"/>
  <c r="C18" i="11"/>
  <c r="G25" i="7"/>
  <c r="D18" i="11"/>
  <c r="H18" i="11"/>
  <c r="I18" i="11"/>
  <c r="J18" i="11"/>
  <c r="K18" i="11"/>
  <c r="F4" i="7"/>
  <c r="F33" i="7"/>
  <c r="C24" i="11"/>
  <c r="F42" i="7"/>
  <c r="C29" i="11"/>
  <c r="F31" i="7"/>
  <c r="C23" i="11"/>
  <c r="F59" i="7"/>
  <c r="F5" i="7"/>
  <c r="C4" i="11"/>
  <c r="F15" i="7"/>
  <c r="C11" i="11"/>
  <c r="F32" i="7"/>
  <c r="F41" i="7"/>
  <c r="C28" i="11"/>
  <c r="F47" i="7"/>
  <c r="C33" i="11"/>
  <c r="F46" i="7"/>
  <c r="C32" i="11"/>
  <c r="F22" i="7"/>
  <c r="F45" i="7"/>
  <c r="C31" i="11"/>
  <c r="F36" i="7"/>
  <c r="C25" i="11"/>
  <c r="F43" i="7"/>
  <c r="C30" i="11"/>
  <c r="F6" i="7"/>
  <c r="C5" i="11"/>
  <c r="F16" i="7"/>
  <c r="C12" i="11"/>
  <c r="F58" i="7"/>
  <c r="C40" i="11"/>
  <c r="F27" i="7"/>
  <c r="F37" i="7"/>
  <c r="F23" i="7"/>
  <c r="C17" i="11"/>
  <c r="F19" i="7"/>
  <c r="C15" i="11"/>
  <c r="F21" i="7"/>
  <c r="C16" i="11"/>
  <c r="F52" i="7"/>
  <c r="C36" i="11"/>
  <c r="F7" i="7"/>
  <c r="F13" i="7"/>
  <c r="C10" i="11"/>
  <c r="F14" i="7"/>
  <c r="F17" i="7"/>
  <c r="C13" i="11"/>
  <c r="F9" i="7"/>
  <c r="C8" i="11"/>
  <c r="F29" i="7"/>
  <c r="C21" i="11"/>
  <c r="F40" i="7"/>
  <c r="F48" i="7"/>
  <c r="F12" i="7"/>
  <c r="C9" i="11"/>
  <c r="F53" i="7"/>
  <c r="C37" i="11"/>
  <c r="F50" i="7"/>
  <c r="C35" i="11"/>
  <c r="F30" i="7"/>
  <c r="C22" i="11"/>
  <c r="F34" i="7"/>
  <c r="F38" i="7"/>
  <c r="C26" i="11"/>
  <c r="F56" i="7"/>
  <c r="C39" i="11"/>
  <c r="F39" i="7"/>
  <c r="C27" i="11"/>
  <c r="F51" i="7"/>
  <c r="F8" i="7"/>
  <c r="C7" i="11"/>
  <c r="F3" i="7"/>
  <c r="C3" i="11"/>
  <c r="F24" i="7"/>
  <c r="F44" i="7"/>
  <c r="F26" i="7"/>
  <c r="C19" i="11"/>
  <c r="F54" i="7"/>
  <c r="C38" i="11"/>
  <c r="F11" i="7"/>
  <c r="F18" i="7"/>
  <c r="C14" i="11"/>
  <c r="F55" i="7"/>
  <c r="F57" i="7"/>
  <c r="F28" i="7"/>
  <c r="C20" i="11"/>
  <c r="F10" i="7"/>
  <c r="F20" i="7"/>
  <c r="C41" i="11"/>
  <c r="F35" i="7"/>
  <c r="G7" i="7"/>
  <c r="D6" i="11"/>
  <c r="G42" i="7"/>
  <c r="G13" i="7"/>
  <c r="D10" i="11"/>
  <c r="G17" i="7"/>
  <c r="D13" i="11"/>
  <c r="G19" i="7"/>
  <c r="D15" i="11"/>
  <c r="G21" i="7"/>
  <c r="D16" i="11"/>
  <c r="G52" i="7"/>
  <c r="D36" i="11"/>
  <c r="G9" i="7"/>
  <c r="D8" i="11"/>
  <c r="G36" i="7"/>
  <c r="D25" i="11"/>
  <c r="G31" i="7"/>
  <c r="D23" i="11"/>
  <c r="G58" i="7"/>
  <c r="D40" i="11"/>
  <c r="G6" i="7"/>
  <c r="D5" i="11"/>
  <c r="G33" i="7"/>
  <c r="D24" i="11"/>
  <c r="G40" i="7"/>
  <c r="G48" i="7"/>
  <c r="G4" i="7"/>
  <c r="G12" i="7"/>
  <c r="D9" i="11"/>
  <c r="G53" i="7"/>
  <c r="D37" i="11"/>
  <c r="G16" i="7"/>
  <c r="D12" i="11"/>
  <c r="G50" i="7"/>
  <c r="D35" i="11"/>
  <c r="G30" i="7"/>
  <c r="D22" i="11"/>
  <c r="G22" i="7"/>
  <c r="G27" i="7"/>
  <c r="G34" i="7"/>
  <c r="G37" i="7"/>
  <c r="G38" i="7"/>
  <c r="D26" i="11"/>
  <c r="G56" i="7"/>
  <c r="D39" i="11"/>
  <c r="G39" i="7"/>
  <c r="D27" i="11"/>
  <c r="G45" i="7"/>
  <c r="D31" i="11"/>
  <c r="G51" i="7"/>
  <c r="G59" i="7"/>
  <c r="D41" i="11"/>
  <c r="G5" i="7"/>
  <c r="D4" i="11"/>
  <c r="G15" i="7"/>
  <c r="D11" i="11"/>
  <c r="G32" i="7"/>
  <c r="G8" i="7"/>
  <c r="D7" i="11"/>
  <c r="G3" i="7"/>
  <c r="D3" i="11"/>
  <c r="G46" i="7"/>
  <c r="D32" i="11"/>
  <c r="G24" i="7"/>
  <c r="G41" i="7"/>
  <c r="D28" i="11"/>
  <c r="G47" i="7"/>
  <c r="D33" i="11"/>
  <c r="G44" i="7"/>
  <c r="G10" i="7"/>
  <c r="G20" i="7"/>
  <c r="G26" i="7"/>
  <c r="D19" i="11"/>
  <c r="D29" i="11"/>
  <c r="G28" i="7"/>
  <c r="D20" i="11"/>
  <c r="G54" i="7"/>
  <c r="D38" i="11"/>
  <c r="G18" i="7"/>
  <c r="D14" i="11"/>
  <c r="G29" i="7"/>
  <c r="D21" i="11"/>
  <c r="G23" i="7"/>
  <c r="D17" i="11"/>
  <c r="G35" i="7"/>
  <c r="G55" i="7"/>
  <c r="G57" i="7"/>
  <c r="G11" i="7"/>
  <c r="G43" i="7"/>
  <c r="D30" i="11"/>
  <c r="G14" i="7"/>
  <c r="L35" i="8"/>
  <c r="M35" i="8"/>
  <c r="R33" i="8"/>
  <c r="Q33" i="8"/>
  <c r="P33" i="8"/>
  <c r="Q32" i="8"/>
  <c r="P32" i="8"/>
  <c r="M32" i="8"/>
  <c r="L32" i="8"/>
  <c r="Q25" i="8"/>
  <c r="P25" i="8"/>
  <c r="M25" i="8"/>
  <c r="L25" i="8"/>
  <c r="L16" i="8"/>
  <c r="U7" i="8"/>
  <c r="T9" i="8"/>
  <c r="P9" i="8"/>
  <c r="L9" i="8"/>
  <c r="K10" i="11"/>
  <c r="K15" i="11"/>
  <c r="K36" i="11"/>
  <c r="K25" i="11"/>
  <c r="K21" i="11"/>
  <c r="K5" i="11"/>
  <c r="K23" i="11"/>
  <c r="K6" i="11"/>
  <c r="K22" i="11"/>
  <c r="K39" i="11"/>
  <c r="K37" i="11"/>
  <c r="K9" i="11"/>
  <c r="K11" i="11"/>
  <c r="K7" i="11"/>
  <c r="K3" i="11"/>
  <c r="K4" i="11"/>
  <c r="K24" i="11"/>
  <c r="K16" i="11"/>
  <c r="K8" i="11"/>
  <c r="K27" i="11"/>
  <c r="K35" i="11"/>
  <c r="K32" i="11"/>
  <c r="K28" i="11"/>
  <c r="K31" i="11"/>
  <c r="K12" i="11"/>
  <c r="K29" i="11"/>
  <c r="K14" i="11"/>
  <c r="K41" i="11"/>
  <c r="K17" i="11"/>
  <c r="K33" i="11"/>
  <c r="K40" i="11"/>
  <c r="K19" i="11"/>
  <c r="K20" i="11"/>
  <c r="K30" i="11"/>
  <c r="K13" i="11"/>
  <c r="K26" i="11"/>
  <c r="K38" i="11"/>
  <c r="J10" i="11"/>
  <c r="J15" i="11"/>
  <c r="J36" i="11"/>
  <c r="J25" i="11"/>
  <c r="J21" i="11"/>
  <c r="J5" i="11"/>
  <c r="J6" i="11"/>
  <c r="J22" i="11"/>
  <c r="J39" i="11"/>
  <c r="J37" i="11"/>
  <c r="J9" i="11"/>
  <c r="J11" i="11"/>
  <c r="J7" i="11"/>
  <c r="J3" i="11"/>
  <c r="J4" i="11"/>
  <c r="V33" i="7"/>
  <c r="J24" i="11"/>
  <c r="J16" i="11"/>
  <c r="J8" i="11"/>
  <c r="J27" i="11"/>
  <c r="J35" i="11"/>
  <c r="J32" i="11"/>
  <c r="J28" i="11"/>
  <c r="J31" i="11"/>
  <c r="J12" i="11"/>
  <c r="J29" i="11"/>
  <c r="J14" i="11"/>
  <c r="J41" i="11"/>
  <c r="J17" i="11"/>
  <c r="J33" i="11"/>
  <c r="J40" i="11"/>
  <c r="J19" i="11"/>
  <c r="J20" i="11"/>
  <c r="J30" i="11"/>
  <c r="J13" i="11"/>
  <c r="J26" i="11"/>
  <c r="J38" i="11"/>
  <c r="I10" i="11"/>
  <c r="I15" i="11"/>
  <c r="I36" i="11"/>
  <c r="I25" i="11"/>
  <c r="I21" i="11"/>
  <c r="I5" i="11"/>
  <c r="I23" i="11"/>
  <c r="I6" i="11"/>
  <c r="I22" i="11"/>
  <c r="I39" i="11"/>
  <c r="I37" i="11"/>
  <c r="I9" i="11"/>
  <c r="I11" i="11"/>
  <c r="I7" i="11"/>
  <c r="I3" i="11"/>
  <c r="I4" i="11"/>
  <c r="I24" i="11"/>
  <c r="I16" i="11"/>
  <c r="I8" i="11"/>
  <c r="I27" i="11"/>
  <c r="I35" i="11"/>
  <c r="I32" i="11"/>
  <c r="I28" i="11"/>
  <c r="I31" i="11"/>
  <c r="I12" i="11"/>
  <c r="I29" i="11"/>
  <c r="I14" i="11"/>
  <c r="I41" i="11"/>
  <c r="I17" i="11"/>
  <c r="I33" i="11"/>
  <c r="I40" i="11"/>
  <c r="I19" i="11"/>
  <c r="I20" i="11"/>
  <c r="I30" i="11"/>
  <c r="I13" i="11"/>
  <c r="I26" i="11"/>
  <c r="I38" i="11"/>
  <c r="H10" i="11"/>
  <c r="H15" i="11"/>
  <c r="H36" i="11"/>
  <c r="H25" i="11"/>
  <c r="H21" i="11"/>
  <c r="H5" i="11"/>
  <c r="H23" i="11"/>
  <c r="H6" i="11"/>
  <c r="H22" i="11"/>
  <c r="H39" i="11"/>
  <c r="H37" i="11"/>
  <c r="H9" i="11"/>
  <c r="H11" i="11"/>
  <c r="H7" i="11"/>
  <c r="H3" i="11"/>
  <c r="H4" i="11"/>
  <c r="H24" i="11"/>
  <c r="H16" i="11"/>
  <c r="H8" i="11"/>
  <c r="H27" i="11"/>
  <c r="H35" i="11"/>
  <c r="H32" i="11"/>
  <c r="H28" i="11"/>
  <c r="H31" i="11"/>
  <c r="H12" i="11"/>
  <c r="H29" i="11"/>
  <c r="H14" i="11"/>
  <c r="H41" i="11"/>
  <c r="H17" i="11"/>
  <c r="H33" i="11"/>
  <c r="H40" i="11"/>
  <c r="H19" i="11"/>
  <c r="H20" i="11"/>
  <c r="H30" i="11"/>
  <c r="H13" i="11"/>
  <c r="H26" i="11"/>
  <c r="H38" i="11"/>
  <c r="T29" i="7"/>
  <c r="T31" i="7"/>
  <c r="T12" i="7"/>
  <c r="T41" i="7"/>
  <c r="T47" i="7"/>
  <c r="T54" i="7"/>
  <c r="P13" i="7"/>
  <c r="P29" i="7"/>
  <c r="P33" i="7"/>
  <c r="P47" i="7"/>
  <c r="P54" i="7"/>
  <c r="T6" i="7"/>
  <c r="P31" i="7"/>
  <c r="P6" i="7"/>
  <c r="P21" i="7"/>
  <c r="P36" i="7"/>
  <c r="T21" i="7"/>
  <c r="T36" i="7"/>
  <c r="T7" i="7"/>
  <c r="T39" i="7"/>
  <c r="T53" i="7"/>
  <c r="T59" i="7"/>
  <c r="T15" i="7"/>
  <c r="P59" i="7"/>
  <c r="P15" i="7"/>
  <c r="T16" i="7"/>
  <c r="P16" i="7"/>
  <c r="T13" i="7"/>
  <c r="T50" i="7"/>
  <c r="T8" i="7"/>
  <c r="P50" i="7"/>
  <c r="P8" i="7"/>
  <c r="L50" i="7"/>
  <c r="T30" i="7"/>
  <c r="P30" i="7"/>
  <c r="T9" i="7"/>
  <c r="P9" i="7"/>
  <c r="L8" i="7"/>
  <c r="T26" i="7"/>
  <c r="P26" i="7"/>
  <c r="L26" i="7"/>
  <c r="L29" i="7"/>
  <c r="T58" i="7"/>
  <c r="P58" i="7"/>
  <c r="T18" i="7"/>
  <c r="P18" i="7"/>
  <c r="T28" i="7"/>
  <c r="P28" i="7"/>
  <c r="T43" i="7"/>
  <c r="P43" i="7"/>
  <c r="J23" i="11"/>
</calcChain>
</file>

<file path=xl/sharedStrings.xml><?xml version="1.0" encoding="utf-8"?>
<sst xmlns="http://schemas.openxmlformats.org/spreadsheetml/2006/main" count="3515" uniqueCount="447">
  <si>
    <t>County</t>
  </si>
  <si>
    <t>City</t>
  </si>
  <si>
    <t>Place Type</t>
  </si>
  <si>
    <t>Population (2020)</t>
  </si>
  <si>
    <t>Alameda</t>
  </si>
  <si>
    <t>Albany</t>
  </si>
  <si>
    <t>?</t>
  </si>
  <si>
    <t>Piedmont</t>
  </si>
  <si>
    <t>Union City</t>
  </si>
  <si>
    <t>Contra Costa</t>
  </si>
  <si>
    <t>Brentwood</t>
  </si>
  <si>
    <t>Marin</t>
  </si>
  <si>
    <t>Mill Valley</t>
  </si>
  <si>
    <t>Clayton</t>
  </si>
  <si>
    <t>Danville</t>
  </si>
  <si>
    <t>San Pablo</t>
  </si>
  <si>
    <t>Belvedere</t>
  </si>
  <si>
    <t>Corte Madera</t>
  </si>
  <si>
    <t>Fairfax</t>
  </si>
  <si>
    <t>Larkspur</t>
  </si>
  <si>
    <t>Ross</t>
  </si>
  <si>
    <t>San Anselmo</t>
  </si>
  <si>
    <t>Sausalito</t>
  </si>
  <si>
    <t>Tiburon</t>
  </si>
  <si>
    <t>San Mateo</t>
  </si>
  <si>
    <t>Portola Valley</t>
  </si>
  <si>
    <t>Balance of County</t>
  </si>
  <si>
    <t>Napa</t>
  </si>
  <si>
    <t>American Canyon</t>
  </si>
  <si>
    <t>Calistoga</t>
  </si>
  <si>
    <t>St Helena</t>
  </si>
  <si>
    <t>Yountville</t>
  </si>
  <si>
    <t>Lafayette</t>
  </si>
  <si>
    <t>Atherton</t>
  </si>
  <si>
    <t>Martinez</t>
  </si>
  <si>
    <t>Oakley</t>
  </si>
  <si>
    <t>Colma</t>
  </si>
  <si>
    <t>Foster City</t>
  </si>
  <si>
    <t>Half Moon Bay</t>
  </si>
  <si>
    <t>Hillsborough</t>
  </si>
  <si>
    <t>Pacifica</t>
  </si>
  <si>
    <t>Woodside</t>
  </si>
  <si>
    <t>Sonoma</t>
  </si>
  <si>
    <t>Cotati</t>
  </si>
  <si>
    <t>Healdsburg</t>
  </si>
  <si>
    <t>Solano</t>
  </si>
  <si>
    <t>Dixon</t>
  </si>
  <si>
    <t>Rio Vista</t>
  </si>
  <si>
    <t>Santa Clara</t>
  </si>
  <si>
    <t>Cupertino</t>
  </si>
  <si>
    <t>Los Altos</t>
  </si>
  <si>
    <t>Los Altos Hills</t>
  </si>
  <si>
    <t>Los Gatos</t>
  </si>
  <si>
    <t>Monte Sereno</t>
  </si>
  <si>
    <t>Saratoga</t>
  </si>
  <si>
    <t>Fremont</t>
  </si>
  <si>
    <t>Core Suburb</t>
  </si>
  <si>
    <t>Hayward</t>
  </si>
  <si>
    <t>San Leandro</t>
  </si>
  <si>
    <t>Pleasant Hill</t>
  </si>
  <si>
    <t>Brisbane</t>
  </si>
  <si>
    <t>Redwood City</t>
  </si>
  <si>
    <t>San Bruno</t>
  </si>
  <si>
    <t>Menlo Park</t>
  </si>
  <si>
    <t>Millbrae</t>
  </si>
  <si>
    <t>San Carlos</t>
  </si>
  <si>
    <t>Petaluma</t>
  </si>
  <si>
    <t>Vallejo</t>
  </si>
  <si>
    <t>Gilroy</t>
  </si>
  <si>
    <t>Milpitas</t>
  </si>
  <si>
    <t>Sunnyvale</t>
  </si>
  <si>
    <t>Emeryville</t>
  </si>
  <si>
    <t>Belmont</t>
  </si>
  <si>
    <t>Burlingame</t>
  </si>
  <si>
    <t>Livermore</t>
  </si>
  <si>
    <t>Outer Suburb</t>
  </si>
  <si>
    <t>Newark</t>
  </si>
  <si>
    <t>Pleasanton</t>
  </si>
  <si>
    <t>Antioch</t>
  </si>
  <si>
    <t>Dublin</t>
  </si>
  <si>
    <t>San Ramon</t>
  </si>
  <si>
    <t>Novato</t>
  </si>
  <si>
    <t>Hercules</t>
  </si>
  <si>
    <t>Cloverdale</t>
  </si>
  <si>
    <t>Rohnert Park</t>
  </si>
  <si>
    <t>Sebastopol</t>
  </si>
  <si>
    <t>Benicia</t>
  </si>
  <si>
    <t>Fairfield</t>
  </si>
  <si>
    <t>Suisun City</t>
  </si>
  <si>
    <t>Vacaville</t>
  </si>
  <si>
    <t>Campbell</t>
  </si>
  <si>
    <t>Morgan Hill</t>
  </si>
  <si>
    <t>Moraga</t>
  </si>
  <si>
    <t>Orinda</t>
  </si>
  <si>
    <t>Pinole</t>
  </si>
  <si>
    <t>Pittsburg</t>
  </si>
  <si>
    <t>Windsor</t>
  </si>
  <si>
    <t>Urban Area</t>
  </si>
  <si>
    <t>Concord</t>
  </si>
  <si>
    <t>El Cerrito</t>
  </si>
  <si>
    <t>Richmond</t>
  </si>
  <si>
    <t>Walnut Creek</t>
  </si>
  <si>
    <t>San Rafael</t>
  </si>
  <si>
    <t>Santa Rosa</t>
  </si>
  <si>
    <t>Daly City</t>
  </si>
  <si>
    <t>East Palo Alto</t>
  </si>
  <si>
    <t>Mountain View</t>
  </si>
  <si>
    <t>Palo Alto</t>
  </si>
  <si>
    <t>Berkeley</t>
  </si>
  <si>
    <t>South San Francisco</t>
  </si>
  <si>
    <t>Oakland</t>
  </si>
  <si>
    <t>Urban Center</t>
  </si>
  <si>
    <t>San Francisco</t>
  </si>
  <si>
    <t>San Jose</t>
  </si>
  <si>
    <t>General</t>
  </si>
  <si>
    <t>Population</t>
  </si>
  <si>
    <t>Highest Minimum is 1/DU or Less</t>
  </si>
  <si>
    <t>Highest Retail Minimum is 3/1K GSF or Less</t>
  </si>
  <si>
    <t>Highest Office Minimum is 2/1K GSF or Less</t>
  </si>
  <si>
    <t>Residential Maximum</t>
  </si>
  <si>
    <t>Retail Maximum</t>
  </si>
  <si>
    <t>Office Maximum</t>
  </si>
  <si>
    <t>Shared Parking</t>
  </si>
  <si>
    <t>Unbundled Parking</t>
  </si>
  <si>
    <t>Affordable Housing</t>
  </si>
  <si>
    <t>Transit Proximity</t>
  </si>
  <si>
    <t>Residential Parking Standards</t>
  </si>
  <si>
    <t>Retail Parking Standards</t>
  </si>
  <si>
    <t>Office Parking Standards</t>
  </si>
  <si>
    <t>Mixed Use Parking Standards</t>
  </si>
  <si>
    <t>Parking Provisions</t>
  </si>
  <si>
    <t>Strategic Curbside Management Complements</t>
  </si>
  <si>
    <t>TDM</t>
  </si>
  <si>
    <t>Requirements/Standards for Alternative Vehicles</t>
  </si>
  <si>
    <t>Previous Database</t>
  </si>
  <si>
    <t>Date Updated</t>
  </si>
  <si>
    <t>Lowest Minimum (lowest parking spaces per unit)</t>
  </si>
  <si>
    <t>Highest Minimum (highest parking spaces per unit)</t>
  </si>
  <si>
    <t>Minimum covered (not in addition to minimum)</t>
  </si>
  <si>
    <t>Maximum (parking spaces per unit)</t>
  </si>
  <si>
    <t>Guest Parking (per unit)</t>
  </si>
  <si>
    <t>Guest Parking Detail</t>
  </si>
  <si>
    <t>Rules for Determining Required Parking</t>
  </si>
  <si>
    <t>Notes</t>
  </si>
  <si>
    <t>Lowest Minimum (parking spaces per 1,000 sq. ft.)</t>
  </si>
  <si>
    <t>Highest Minimum (parking spaces per 1,000 sq. ft.)</t>
  </si>
  <si>
    <t>Maximum (parking spaces per 1,000 sq. ft.)</t>
  </si>
  <si>
    <t>Special Rules for Determining Required Parking</t>
  </si>
  <si>
    <t>Minimum (parking spaces per 1,000 sq. ft.)</t>
  </si>
  <si>
    <t>Shared Parking Requirements/ Incentives</t>
  </si>
  <si>
    <t>On-street Parking Credits</t>
  </si>
  <si>
    <t>Common Area Parking</t>
  </si>
  <si>
    <t>ADA Parking</t>
  </si>
  <si>
    <t xml:space="preserve">Transit Proximity </t>
  </si>
  <si>
    <t>Downtown</t>
  </si>
  <si>
    <t>Small Stores</t>
  </si>
  <si>
    <t>Senior Housing</t>
  </si>
  <si>
    <t>Compact Car Percentage</t>
  </si>
  <si>
    <t>Unbundling</t>
  </si>
  <si>
    <t>In-Lieu Fees</t>
  </si>
  <si>
    <t>Special Parking Districts</t>
  </si>
  <si>
    <t>Residential Parking Permit Program</t>
  </si>
  <si>
    <t>Metered Parking</t>
  </si>
  <si>
    <t>Demand Responsive Pricing/Rate Adjustment Protocol</t>
  </si>
  <si>
    <t>Parking Benefit District</t>
  </si>
  <si>
    <t>Developer TDM Plan Requirements</t>
  </si>
  <si>
    <t>Employer TDM/Trip Reduction Requirement</t>
  </si>
  <si>
    <t>Trip Cap/Mode Split Target</t>
  </si>
  <si>
    <t>Transportation Management Association (TMA)</t>
  </si>
  <si>
    <t>Bicycles</t>
  </si>
  <si>
    <t>Bicycles (notes)</t>
  </si>
  <si>
    <t>Car Share Vehicles</t>
  </si>
  <si>
    <t>Motorcycles</t>
  </si>
  <si>
    <t>Alternative Fuel Vehicles</t>
  </si>
  <si>
    <t>Yes</t>
  </si>
  <si>
    <t>-</t>
  </si>
  <si>
    <t xml:space="preserve"> -</t>
  </si>
  <si>
    <t>L, U</t>
  </si>
  <si>
    <t>P up to 1.5 parking spaces for each Dwelling Unit.</t>
  </si>
  <si>
    <t>Maximum 1.5 parking spaces for each 200 square feet of Occupied Floor Area, where the Occupied Floor Area exceeds 5,000 square feet.</t>
  </si>
  <si>
    <t>None required. Maximum 1.5 parking spaces for each 500 square feet of Occupied Floor Area, where the Occupied Floor Area exceeds 5,000 square feet.</t>
  </si>
  <si>
    <t>Maximum 1.5 parking spaces for each 2,000 square feet of Occupied Floor Area, where the Occupied Floor Area exceeds 7,500 square feet, except in RH or RM Districts, within which the requirement shall be one space for each Live/Work Unit.</t>
  </si>
  <si>
    <t>No</t>
  </si>
  <si>
    <t>Commercial based on SF, Residential 1/2 per unit if less than 50 units; 25 + 0.25/unit over 50.</t>
  </si>
  <si>
    <t>U</t>
  </si>
  <si>
    <t xml:space="preserve"> Any mixed use building (residential and commercial) shall satisfy the off-street parking standards and requirements of this District, provided, however, that the Board or the Zoning Officer may issue a Permit to modify the off-street parking and usable open space requirements where it finds such modification promotes any of the general purposes set forth in 23E.64.020.</t>
  </si>
  <si>
    <t>MF</t>
  </si>
  <si>
    <t>B, T, U</t>
  </si>
  <si>
    <t>Sum of the requirements</t>
  </si>
  <si>
    <t>B, T, S, U</t>
  </si>
  <si>
    <t>Based on accepted guidelines such as ITE or ULI</t>
  </si>
  <si>
    <t xml:space="preserve">Up to 5% of auto parking. </t>
  </si>
  <si>
    <t xml:space="preserve">11.48.510 - Permanent Guest Parking Permits.	</t>
  </si>
  <si>
    <t>A, B, S, T, U</t>
  </si>
  <si>
    <t>Respective commercial and residential parking requirements combined</t>
  </si>
  <si>
    <t>Long term: 60%
Short term: 40%</t>
  </si>
  <si>
    <t xml:space="preserve"> 1-2</t>
  </si>
  <si>
    <t xml:space="preserve"> - </t>
  </si>
  <si>
    <t>T, U</t>
  </si>
  <si>
    <t>mixed use permit parking area</t>
  </si>
  <si>
    <t>Chapter 17.117</t>
  </si>
  <si>
    <t>See Notes</t>
  </si>
  <si>
    <t>SF</t>
  </si>
  <si>
    <t>For Affordable Housing: Number of covered spaces should equal or exceed the number of units</t>
  </si>
  <si>
    <t xml:space="preserve">  -</t>
  </si>
  <si>
    <t>Residential:1-1.5 plus 1 guest parking for every 4 units; non residential: 2.2-5 spaces per 1000 sf</t>
  </si>
  <si>
    <t>Short term: 10% of auto parking, min 4 per establishment; Long term residential: 1 space per 5 units; Long term other: 1 space per 20 auto spaces</t>
  </si>
  <si>
    <t>T, B, S, U</t>
  </si>
  <si>
    <t xml:space="preserve">19.24.050 - Parking reductions - Shared Parking.	</t>
  </si>
  <si>
    <t>Require bicycle parking</t>
  </si>
  <si>
    <t xml:space="preserve">Solano </t>
  </si>
  <si>
    <t>B, S ,T, U</t>
  </si>
  <si>
    <t>See notes</t>
  </si>
  <si>
    <t>Sum of required uses, but the requirement for the use with the smaller parking requirement may reduce by 33%</t>
  </si>
  <si>
    <t>Varies by use</t>
  </si>
  <si>
    <t xml:space="preserve">MF. One additional guest parking space must be provided for every 4 units for projects greater than 10 units.
</t>
  </si>
  <si>
    <t>A, B, T, U</t>
  </si>
  <si>
    <t>Parking Requirements Campus Mixed Use: 2.74 spaces per 1,000 gross square feet</t>
  </si>
  <si>
    <t>Short-term bicycle parking spaces shall be provided for the following uses at a rate of 10 percent of the number of required automobile parking spaces, with a minimum of four parking spaces provided per establishment.</t>
  </si>
  <si>
    <t>The ratio of required spaces to floor area shall be computed by measuring within the gross floor area of the building. Where a building is used or intended to be used for a combination of purposes, the parking spaces shall be provided in relation to the proportion of the building assigned to each use and shall be the total of the combination of use</t>
  </si>
  <si>
    <t>NBMU (North Burlingame Mixed Use District Regulation)
Class I – Resident bicycles - 0.5 spaces/unit
Class II – Guest bicycles - 0.05 spaces/unit</t>
  </si>
  <si>
    <t>Establishments Dispensing Food or Beverages for Consumption on the Premises – One space for each 60 sq. ft. of customer area plus one space for each 600 sq. ft. of kitchen and storage area.</t>
  </si>
  <si>
    <t>1.0 for each 333 square feet of net floor area within the Specific Plan Area when office and retail uses are mixed</t>
  </si>
  <si>
    <t xml:space="preserve">No </t>
  </si>
  <si>
    <t xml:space="preserve">Guest parking for developments with five or more dwelling units
</t>
  </si>
  <si>
    <t>S,U</t>
  </si>
  <si>
    <t xml:space="preserve">(f)    Minimum and Maximum Parking Requirements. There is no minimum number of parking spaces required for any use, except for accessible parking pursuant to Section 9-4.403(c). The maximum number of parking spaces allowed shall be ten percent (10%) more than the estimated parking demand as indicated in Table 9-4.404.
</t>
  </si>
  <si>
    <t>B, L, S, T, U</t>
  </si>
  <si>
    <t>Apartments specified by CUP</t>
  </si>
  <si>
    <t xml:space="preserve">Divided by: 5k or less, 5k-10k,10k-25k, 25k+ </t>
  </si>
  <si>
    <t>GFA</t>
  </si>
  <si>
    <t>10% of auto parking</t>
  </si>
  <si>
    <t>15% - 20% of total required</t>
  </si>
  <si>
    <t>B, T</t>
  </si>
  <si>
    <t>Residential use - 1-2, and 3 if four or more bedroom</t>
  </si>
  <si>
    <t xml:space="preserve">Maximum 5% of total required. One auto space can be omitted for every 8 bike spaces. </t>
  </si>
  <si>
    <t>B, S, T</t>
  </si>
  <si>
    <t xml:space="preserve">Parking reduction. In the event that a mixed use development includes uses that have different peaks in parking demand, (e.g., a mixed commercial and residential development) an alternative parking requirement may be established, as determined appropriate by the Director. </t>
  </si>
  <si>
    <t>B, L, U</t>
  </si>
  <si>
    <t>Additional guest parking spaces shall be provided for all residential subdivisions of 5 or more single-family residences, at the rate of 1 parking space for every 5 units.</t>
  </si>
  <si>
    <t>A, B, S ,T, U</t>
  </si>
  <si>
    <t>Varies by use and short long term parking</t>
  </si>
  <si>
    <t>An additional covered space or off-site parking space may be substituted for required uncovered spaces</t>
  </si>
  <si>
    <t>2 (multi-use/ flex w/ up to 30% office area)</t>
  </si>
  <si>
    <t>Varies by use and short and long term parking</t>
  </si>
  <si>
    <t>B, S, U</t>
  </si>
  <si>
    <t xml:space="preserve">Plus one space per 1,000 sf outdoor display area. Lower rate for take-out food. Sit-down calc based on seats. </t>
  </si>
  <si>
    <t xml:space="preserve">Needed on lots with 20 or more spaces. </t>
  </si>
  <si>
    <t>+/- 1,825 SF</t>
  </si>
  <si>
    <t>B, L, T, U</t>
  </si>
  <si>
    <t>No MF shall provide less than 1.75 spaces per Unit</t>
  </si>
  <si>
    <t>Minimum 5 bike spaces</t>
  </si>
  <si>
    <t>for 3+ Bedrooms</t>
  </si>
  <si>
    <t>Underground residential parking prohibited except pursuant to permits &amp; approvals</t>
  </si>
  <si>
    <t>Separated by short term and long term parking</t>
  </si>
  <si>
    <t>Separated by short term and long term</t>
  </si>
  <si>
    <t>Yes. Transportation Demand Management Program</t>
  </si>
  <si>
    <t>Transportation Demand Management Program</t>
  </si>
  <si>
    <t>A, U</t>
  </si>
  <si>
    <t xml:space="preserve"> +/ - 3,000 SF</t>
  </si>
  <si>
    <t>Floor area beyond the 1st 1,000 sf. Sum of requried uses.</t>
  </si>
  <si>
    <t xml:space="preserve">Bike racks/storage required in non res zoning districts </t>
  </si>
  <si>
    <t>Plus (1) space for every bedroom over 4 bedrooms</t>
  </si>
  <si>
    <t>Tandem parking arrangements for required parking spaces may be allowed in the Mixed Use Residential (M-U) District as approved by the planning and community development director with a finding that the tandem spaces result in a more efficient site plan or are necessary to accommodate affordable housing. 
A reduction of up to twenty-five percent of the spaces required for a combination of uses may be allowed where findings are made indicating that the uses share a common parking area and the demand for parking occurs over different time periods, thereby making the full requirement unnecessary.</t>
  </si>
  <si>
    <t xml:space="preserve">Varies by use </t>
  </si>
  <si>
    <t>Yes for Mobile Home. 1 in 10 units guest parking</t>
  </si>
  <si>
    <t>All Other Retail or Service Commercial—one space for each three hundred square feet of gross floor area up to twenty-one thousand square feet; thereafter, one space for each two hundred square feet of gross floor area;</t>
  </si>
  <si>
    <t>GFA 3.3 up to 21,000, 5 after 21,000</t>
  </si>
  <si>
    <t>In no event shall an administrative variance be issued which reduces the overall off-street parking standard by more than twenty percent. To qualify for a reduction, a mixed use complex shall be under one management</t>
  </si>
  <si>
    <t xml:space="preserve"> 1-4</t>
  </si>
  <si>
    <t xml:space="preserve">2 per unit </t>
  </si>
  <si>
    <t>Bicycle and Motorcycle Parking Requirements</t>
  </si>
  <si>
    <t>0.5-2</t>
  </si>
  <si>
    <t>1 per unit</t>
  </si>
  <si>
    <t>Provided residential is not &gt; 2x the area of first floor commercial &amp; commercial use provides all required parking.</t>
  </si>
  <si>
    <t>Required for &gt; 5,000 SF</t>
  </si>
  <si>
    <t>Locking facilities required</t>
  </si>
  <si>
    <t>Parking reduction</t>
  </si>
  <si>
    <t>10% or 25% for commercial and community facilities.</t>
  </si>
  <si>
    <t>B, U</t>
  </si>
  <si>
    <t>Should be provided in all residential uses.</t>
  </si>
  <si>
    <t>plus one space per company vehicle and one space for every 1,000 sf outdoor display</t>
  </si>
  <si>
    <t>Determined by type of use</t>
  </si>
  <si>
    <t>Requires bike spaces and showers.</t>
  </si>
  <si>
    <t>Trip and travel demand reduction measures</t>
  </si>
  <si>
    <t xml:space="preserve">Exclusion of First 2,000 Square Feet. For all nonresidential uses in Mixed Use Zones with area-based estimated peak period parking demands, the first 2,000 square feet shall be subtracted from the gross square footage of the use when calculating the estimated parking demand. </t>
  </si>
  <si>
    <t>Senior Housing: 1 guest parking for each 10 units.</t>
  </si>
  <si>
    <t>Gross leasable area</t>
  </si>
  <si>
    <t xml:space="preserve"> A mixed use project composed of residential and office or institutional uses may reduce the required vehicle parking up to 75 percent of the required parking for either the residential or office/institutional use, whichever is smaller.</t>
  </si>
  <si>
    <t>Varies by use; requires shower facilities for over 50,000 SF Office, Manufacturing, Retail Trade, Service Uses</t>
  </si>
  <si>
    <t>Bicycle and Motorcycle parking facilities</t>
  </si>
  <si>
    <t xml:space="preserve"> 1-3</t>
  </si>
  <si>
    <t>0.5 -1.5</t>
  </si>
  <si>
    <t>B,S,T,U</t>
  </si>
  <si>
    <t xml:space="preserve">No more than 50 percent of the parking spaces required for a building or use may be supplied by parking facilities required for any other building or use.
</t>
  </si>
  <si>
    <t>4, plus 1 per 10 residential units or 5% of required automobile parking for visitors</t>
  </si>
  <si>
    <t>1</t>
  </si>
  <si>
    <t>Mobile home parks calc by type</t>
  </si>
  <si>
    <t>Restaurants. One stall for each three seats, except when located within a shopping center, the required parking shall conform to the zoning district requirements. In a shopping center with more than 25 percent of the floor area devoted to existing restaurant uses, one parking space shall be provided for each seat in a new restaurant.</t>
  </si>
  <si>
    <t>Bicycle parking and storage facilities</t>
  </si>
  <si>
    <t>0.5 per studio</t>
  </si>
  <si>
    <t>0.5 per studio, 1 per 1-2 bedroom, no parking required for other uses below 3,000 SF</t>
  </si>
  <si>
    <t>5% of total auto parking with a few exceptions</t>
  </si>
  <si>
    <t>B, S, U, T</t>
  </si>
  <si>
    <t>Minimum 2 plus one per excess of 10 auto spaces</t>
  </si>
  <si>
    <t>0.5-1</t>
  </si>
  <si>
    <t>MF Downtown</t>
  </si>
  <si>
    <t xml:space="preserve">  Rentable Floor Area (RFA)</t>
  </si>
  <si>
    <t>RFA</t>
  </si>
  <si>
    <t>10% of required automobile</t>
  </si>
  <si>
    <t>Bicycle and Motorcycle parking</t>
  </si>
  <si>
    <t>sq. ft. of gross floor area</t>
  </si>
  <si>
    <t>Section 9-5.1707</t>
  </si>
  <si>
    <t>Projects with 10+ dwelling units</t>
  </si>
  <si>
    <t>A, B, S, U</t>
  </si>
  <si>
    <t xml:space="preserve"> +/ - 4,000 SF</t>
  </si>
  <si>
    <t>Per CUP</t>
  </si>
  <si>
    <t>Based on primary use type</t>
  </si>
  <si>
    <t xml:space="preserve">1 Bike space: 40 Car spaces </t>
  </si>
  <si>
    <t>15% of required spaces</t>
  </si>
  <si>
    <t>A site or facility proposed for multiple tenants or uses (e.g., a hotel with meeting halls, a building with ground-floor shops and second-floor offices, etc.) shall provide the aggregate number of parking spaces required by Section 36.32.50 (Required Parking Spaces) for each separate use;</t>
  </si>
  <si>
    <t>MF 1/unit + 1/10 units guest parking. 5% of vehicle for most non-residential. None for SF. A 36.37.100 Varies by Class I,II, and III facilities</t>
  </si>
  <si>
    <t>Single - 1/4 units, Multi - 1/3, Multi Senior - 1/5</t>
  </si>
  <si>
    <t xml:space="preserve">Guest Parking not required for proposed residential development within the Downtown Specific Plan overlay zone. </t>
  </si>
  <si>
    <t>Retail = 2.8
Office = 4.0
Residential = varies</t>
  </si>
  <si>
    <t xml:space="preserve">MU-D and RAH Zoning Districts. Land uses in the Downtown Mixed Use (MU-D) and Residential Attached High Density (RAH) zoning districts shall provide on-site parking as specified
Residential 
600 SF or less = 1
600 - 135- SF = 1.5
1350+ SF = 2.0
</t>
  </si>
  <si>
    <t>All multi-family developments of five units or more and commercial and commercial parking lots of ten spaces or more shall provide bicycle parking as specified in this section.
Standard for Short-term and Long-term bicycle parking</t>
  </si>
  <si>
    <t>B, U, A</t>
  </si>
  <si>
    <t>Except restaurants over 3,500 square feet.</t>
  </si>
  <si>
    <t>0.5 - 2</t>
  </si>
  <si>
    <t>Ten percent of the multiple family parking spaces required shall clearly be marked for visitor's parking</t>
  </si>
  <si>
    <t>BTU</t>
  </si>
  <si>
    <t>The total requirement for off-street parking spaces shall be the sum of the requirements of the various uses on the site except as provided in Section 10-2.401, Shared Parking, and Section 10-2.402, Off-site Parking.</t>
  </si>
  <si>
    <t>One parking space credit for every 4 bicycle spaces.</t>
  </si>
  <si>
    <t>0.1-1</t>
  </si>
  <si>
    <t>0.25-1</t>
  </si>
  <si>
    <t>Bicycle parking</t>
  </si>
  <si>
    <t>B, L, S, U</t>
  </si>
  <si>
    <t>Downtown Parking Zone: 0.75-1.5 min and 1.5-3 max</t>
  </si>
  <si>
    <t>Peak Period Trips</t>
  </si>
  <si>
    <t>1-1.5</t>
  </si>
  <si>
    <t>Plus a minimum of 75% of the normally required commercial parking</t>
  </si>
  <si>
    <t>Varies by district</t>
  </si>
  <si>
    <t>A, B, L, T,U</t>
  </si>
  <si>
    <t xml:space="preserve">  - </t>
  </si>
  <si>
    <t>(1) must be covered</t>
  </si>
  <si>
    <t xml:space="preserve">Commercial areas: 5% of auto requirement excluding exempt classifications. </t>
  </si>
  <si>
    <t>Special District Residential Parking Standards</t>
  </si>
  <si>
    <t>Special District Retail Parking Standards</t>
  </si>
  <si>
    <t>Special District Office Parking Standards</t>
  </si>
  <si>
    <t>Special District Mixed Use Parking Standards</t>
  </si>
  <si>
    <t>Additional Provisions (compared to Citywide code)</t>
  </si>
  <si>
    <t>Special District</t>
  </si>
  <si>
    <t>Type of Specific Regs</t>
  </si>
  <si>
    <t>Guest Parking</t>
  </si>
  <si>
    <t>Oakland (CBD)</t>
  </si>
  <si>
    <t>DZD</t>
  </si>
  <si>
    <t>Downtown Mixed Use Districts (DMUMP)</t>
  </si>
  <si>
    <t>Uses &lt;3,000 sf No off-street parking required
Uses &gt;3,000 sf 1 space/500 sf</t>
  </si>
  <si>
    <t xml:space="preserve">Mixed Use Residential District
</t>
  </si>
  <si>
    <t>OZD</t>
  </si>
  <si>
    <t>None required</t>
  </si>
  <si>
    <t>Rules pertain to Manufacturing and all non-residential uses</t>
  </si>
  <si>
    <t xml:space="preserve">If any non-resident employees and/or clients are permitted in any work area there shall be one parking space for the first 1,000 sq. ft. of work area and one additional parking space for each additional 750 sq. ft. of work area.
</t>
  </si>
  <si>
    <t xml:space="preserve">Alameda </t>
  </si>
  <si>
    <t xml:space="preserve">Mixed Use Light Industrial District
</t>
  </si>
  <si>
    <t xml:space="preserve">Mixed Use Manufacturing District
</t>
  </si>
  <si>
    <t>C-W West Berkeley Commercial District</t>
  </si>
  <si>
    <t>The district minimum standard parking requirement for commercial floor area is two spaces per 1,000 square feet of gross floor area...except as otherwise modified in this subsection…</t>
  </si>
  <si>
    <t>Any mixed use building (residential and commercial) shall satisfy the off-street parking standards and requirements of this District, provided, however, that the Board or the Zoning Officer may issue a Permit to modify the off-street parking and usable open space requirements where it finds such modification promotes any of the general purposes set forth in 23E.64.020</t>
  </si>
  <si>
    <t>NCRO Neighborhood Commercial District NCRO-1 Brisbane Village NCRO-2 Downtown Brisbane</t>
  </si>
  <si>
    <t>Concord downtown business district</t>
  </si>
  <si>
    <t>Downtown Area Parking (P1) Overlay District</t>
  </si>
  <si>
    <t>100 or fewer spaces required - reduce 50% of the required number
more than 100 spaces required - all parking spaces required shall be provided</t>
  </si>
  <si>
    <t>Napa City</t>
  </si>
  <si>
    <t xml:space="preserve">No on-site parking and loading facilities shall be required for any property zoned </t>
  </si>
  <si>
    <t>Mixed-Use District</t>
  </si>
  <si>
    <t>San Rafael Downtown</t>
  </si>
  <si>
    <t>Off-street parking for building square footage above 1.0 FAR and for all residential uses shall be provided consistent with the parking requirements in Section 14.18.040.</t>
  </si>
  <si>
    <t>The off-street parking requirement is waived for up to 1.0 FAR of the total square footage of buildings located within the downtown parking district.</t>
  </si>
  <si>
    <t>Downtown and North Santa Rosa Station Area Specific Plan</t>
  </si>
  <si>
    <t>Parking requirements for projects located within the North Santa Rosa Station Area Specific Plan boundaries (see Figure 3-13) may be reduced by the review authority, as a condition of project approval or Minor Conditional Use Permit, when supported by a parking study. The review authority may approve a decrease in parking spaces after first making the following finding:</t>
  </si>
  <si>
    <t>Transit Village (TV) District</t>
  </si>
  <si>
    <t>Downtown District</t>
  </si>
  <si>
    <t>Moffett Park Specific Plan District</t>
  </si>
  <si>
    <t>Minimum 5 spaces for just Medical office</t>
  </si>
  <si>
    <t>Downtown Specific Plan District</t>
  </si>
  <si>
    <t>Novato Downtown Overlay/ specific plan</t>
  </si>
  <si>
    <t>1 space for each 300 sf, plus 1 space for each company vehicle, plus 1 space for each 1,000 sf of outdoor display area.</t>
  </si>
  <si>
    <t>Downtown (D) overlay - 1 space for each 250 sf for ground floor uses; 1 space for every 300 sf for uses on upper floors.</t>
  </si>
  <si>
    <t>Determined by type of use.</t>
  </si>
  <si>
    <t>Redwood City downtown parking zone</t>
  </si>
  <si>
    <t>1.5-3</t>
  </si>
  <si>
    <t>Shared Parking Bonus: All shared parking spaces shall count as two (2) parking spaces toward the fulfillment of the minimum requirement.</t>
  </si>
  <si>
    <t>Unit Size. Two (2) spaces per unit for two-bedroom or larger units, one and one-half (1.5) spaces per unit for studio or one (1) bedroom units, plus one (1) space for every four (4) units for guest or visitor parking. Tandem may be permitted if both spaces are assigned to a single unit. -</t>
  </si>
  <si>
    <t>San Mateo  downtown central parking and improvement district (CPID)</t>
  </si>
  <si>
    <t>Campbell Central Business Zoning District</t>
  </si>
  <si>
    <t>Palo Alto (downtown parking assessment area)</t>
  </si>
  <si>
    <t>San Jose Downtown Zoning Districts</t>
  </si>
  <si>
    <t>Exception for travel agencies and real estate angencies</t>
  </si>
  <si>
    <t>live-work: 1.5 per unit</t>
  </si>
  <si>
    <t>Reductions up to 50%</t>
  </si>
  <si>
    <t>Sebastopol Downtown core district and northeast specific plan area</t>
  </si>
  <si>
    <t>Alameda - community commerical district</t>
  </si>
  <si>
    <t>Central Parking District</t>
  </si>
  <si>
    <t>Central Parking District (and Downtown Core Area Specific Plan)</t>
  </si>
  <si>
    <t>Minimum of 1 in Specific Plan, provided aggregate parking supply for residential units at buildout is 1.5</t>
  </si>
  <si>
    <t>Except for theaters</t>
  </si>
  <si>
    <t>Antioch Rivertown District</t>
  </si>
  <si>
    <t>Community Commercial Zoning District</t>
  </si>
  <si>
    <t>For Residential uses, the parking requirement shall be determined by the Planning Commission in the approval of a conditional use permit</t>
  </si>
  <si>
    <t>one space per two hundred (200) square feet of rentable floor area up to fifty thousand (50,000) square feet and one (1) space per two hundred fifty (250) square feet of rentable floor area over fifty thousand (50,000) square feet except as provided herein.</t>
  </si>
  <si>
    <t>Pedestrian Retail Zoning District</t>
  </si>
  <si>
    <t>one (1) space per three hundred (300) square feet of rentable floor area.</t>
  </si>
  <si>
    <t>Corridor Mixed Use (CMU) and Regional Commercial (RC) Districts</t>
  </si>
  <si>
    <t>Conditional use permit needed to grant parking spaces less than the minimum and more than the maximjum</t>
  </si>
  <si>
    <t>Redwood City Mixed Use Zoning District</t>
  </si>
  <si>
    <t>Provision for guest parking reductions</t>
  </si>
  <si>
    <t>Key</t>
  </si>
  <si>
    <t>MF= multi-family</t>
  </si>
  <si>
    <t xml:space="preserve">Rules for Determining Parking Requirements: </t>
  </si>
  <si>
    <t>DZD: Special requirements for downtown zoning districts</t>
  </si>
  <si>
    <t>SF= single-family</t>
  </si>
  <si>
    <t>A=Square Feet</t>
  </si>
  <si>
    <t>OZD: Special requirements for other zoning districts</t>
  </si>
  <si>
    <t>B=Bedroom</t>
  </si>
  <si>
    <t>S= Structure (apartment, townhouse etc.)</t>
  </si>
  <si>
    <t>T=Use Type (single-family, multi-family)</t>
  </si>
  <si>
    <t>U= Units</t>
  </si>
  <si>
    <t xml:space="preserve">Dwelling units located above ground-floor commercial or retail uses within the Community Commercial district	</t>
  </si>
  <si>
    <t>General retail, banks, minor repair services within the Community Commercial District
  Ground floor
  Upper floor space including mezzanines</t>
  </si>
  <si>
    <t xml:space="preserve">Professional office, doctor and dentist offices (including hospital outpatient services) within the Community Commercial District	</t>
  </si>
  <si>
    <t xml:space="preserve">1.0 space for each 315 square feet of gross floor area except for theaters; 1.0 space for each 4.0 seats.
</t>
  </si>
  <si>
    <t>1.0 space for each 315 square feet of gross floor area except for theaters; 1.0 space for each 4.0 seats.</t>
  </si>
  <si>
    <t>Resident Parking. One (1) space per live/work unit.</t>
  </si>
  <si>
    <t>general is 2.6</t>
  </si>
  <si>
    <t>visitor is 0.5 per unit</t>
  </si>
  <si>
    <t>Downtown Parking Exempt Overlay District</t>
  </si>
  <si>
    <t>All retail businesses located on the ground floor of existing buildings shall be exempt from a use permit for any off-street parking or parking in-lieu fees.</t>
  </si>
  <si>
    <t>Downtown Improvement Area (DIA) District</t>
  </si>
  <si>
    <t>Burlingame Downtown Specific Plan Parking Sector Boundary</t>
  </si>
  <si>
    <t>Retail, personal service, food establishment, and commercial recreation uses located on the first floor within the parking sector shall be exempt from providing off-street parking</t>
  </si>
  <si>
    <t>Citywide Standard Highlights</t>
  </si>
  <si>
    <t>Special District Standard Highlights</t>
  </si>
  <si>
    <t>Additional Provisions (compared to City Code)</t>
  </si>
  <si>
    <t>Additional Provissions</t>
  </si>
  <si>
    <t>Employee Permit Parking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</si>
</sst>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x14ac:knownFonts="1">
    <font>
      <sz val="11"/>
      <color theme="1"/>
      <name val="Calibri"/>
      <family val="2"/>
      <scheme val="minor"/>
    </font>
    <font>
      <sz val="8"/>
      <name val="Calibri"/>
      <family val="2"/>
      <scheme val="minor"/>
    </font>
    <font>
      <u/>
      <sz val="11"/>
      <color theme="10"/>
      <name val="Calibri"/>
      <family val="2"/>
      <scheme val="minor"/>
    </font>
    <font>
      <sz val="11"/>
      <color theme="1"/>
      <name val="Calibri"/>
      <family val="2"/>
      <scheme val="minor"/>
    </font>
    <font>
      <b/>
      <sz val="10"/>
      <color indexed="8"/>
      <name val="Arial Narrow"/>
      <family val="2"/>
    </font>
    <font>
      <b/>
      <sz val="10"/>
      <color theme="0"/>
      <name val="Arial Narrow"/>
      <family val="2"/>
    </font>
    <font>
      <b/>
      <i/>
      <sz val="10"/>
      <color indexed="8"/>
      <name val="Arial Narrow"/>
      <family val="2"/>
    </font>
    <font>
      <sz val="10"/>
      <color indexed="8"/>
      <name val="Arial Narrow"/>
      <family val="2"/>
    </font>
    <font>
      <sz val="10"/>
      <name val="Arial Narrow"/>
      <family val="2"/>
    </font>
    <font>
      <u/>
      <sz val="10"/>
      <color theme="10"/>
      <name val="Arial Narrow"/>
      <family val="2"/>
    </font>
    <font>
      <sz val="10"/>
      <color rgb="FF000000"/>
      <name val="Arial Narrow"/>
      <family val="2"/>
    </font>
    <font>
      <sz val="10"/>
      <color rgb="FFFF0000"/>
      <name val="Arial Narrow"/>
      <family val="2"/>
    </font>
    <font>
      <i/>
      <sz val="10"/>
      <color indexed="8"/>
      <name val="Arial Narrow"/>
      <family val="2"/>
    </font>
    <font>
      <sz val="10"/>
      <color theme="1"/>
      <name val="Arial"/>
      <family val="2"/>
    </font>
    <font>
      <sz val="11"/>
      <color theme="1"/>
      <name val="Arial"/>
      <family val="2"/>
    </font>
    <font>
      <u/>
      <sz val="10"/>
      <color theme="10"/>
      <name val="Arial"/>
      <family val="2"/>
    </font>
    <font>
      <sz val="10"/>
      <color theme="1"/>
      <name val="Arial Narrow"/>
      <family val="2"/>
    </font>
    <font>
      <b/>
      <sz val="10"/>
      <color theme="1"/>
      <name val="Arial Narrow"/>
      <family val="2"/>
    </font>
    <font>
      <b/>
      <sz val="10"/>
      <name val="Arial Narrow"/>
      <family val="2"/>
    </font>
    <font>
      <u/>
      <sz val="10"/>
      <color theme="1"/>
      <name val="Arial Narrow"/>
      <family val="2"/>
    </font>
    <font>
      <u/>
      <sz val="10"/>
      <name val="Arial Narrow"/>
      <family val="2"/>
    </font>
    <font>
      <sz val="10"/>
      <color indexed="8"/>
      <name val="Arial Narrow"/>
      <family val="2"/>
    </font>
    <font>
      <b/>
      <sz val="10"/>
      <name val="Arial Narrow"/>
      <family val="2"/>
    </font>
    <font>
      <b/>
      <sz val="10"/>
      <color theme="0"/>
      <name val="Arial Narrow"/>
      <family val="2"/>
    </font>
  </fonts>
  <fills count="27">
    <fill>
      <patternFill patternType="none"/>
    </fill>
    <fill>
      <patternFill patternType="gray125"/>
    </fill>
    <fill>
      <patternFill patternType="solid">
        <fgColor indexed="55"/>
        <bgColor indexed="64"/>
      </patternFill>
    </fill>
    <fill>
      <patternFill patternType="solid">
        <fgColor theme="6"/>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7"/>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2" tint="-0.749992370372631"/>
        <bgColor indexed="64"/>
      </patternFill>
    </fill>
    <fill>
      <patternFill patternType="solid">
        <fgColor theme="2" tint="-9.9978637043366805E-2"/>
        <bgColor indexed="64"/>
      </patternFill>
    </fill>
    <fill>
      <patternFill patternType="solid">
        <fgColor theme="4"/>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8"/>
        <bgColor indexed="64"/>
      </patternFill>
    </fill>
    <fill>
      <patternFill patternType="solid">
        <fgColor theme="0" tint="-4.9989318521683403E-2"/>
        <bgColor indexed="64"/>
      </patternFill>
    </fill>
    <fill>
      <patternFill patternType="solid">
        <fgColor rgb="FFFAFBF7"/>
        <bgColor indexed="64"/>
      </patternFill>
    </fill>
    <fill>
      <patternFill patternType="solid">
        <fgColor rgb="FFFEF9F4"/>
        <bgColor indexed="64"/>
      </patternFill>
    </fill>
    <fill>
      <patternFill patternType="solid">
        <fgColor rgb="FFF1EFF5"/>
        <bgColor indexed="64"/>
      </patternFill>
    </fill>
    <fill>
      <patternFill patternType="solid">
        <fgColor rgb="FFEDF7F9"/>
        <bgColor indexed="64"/>
      </patternFill>
    </fill>
    <fill>
      <patternFill patternType="solid">
        <fgColor rgb="FFF4F3EC"/>
        <bgColor indexed="64"/>
      </patternFill>
    </fill>
    <fill>
      <patternFill patternType="solid">
        <fgColor rgb="FFEEF3F8"/>
        <bgColor indexed="64"/>
      </patternFill>
    </fill>
    <fill>
      <patternFill patternType="solid">
        <fgColor theme="8" tint="0.39997558519241921"/>
        <bgColor indexed="64"/>
      </patternFill>
    </fill>
  </fills>
  <borders count="17">
    <border>
      <left/>
      <right/>
      <top/>
      <bottom/>
      <diagonal/>
    </border>
    <border>
      <left style="thin">
        <color indexed="64"/>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right style="thin">
        <color indexed="64"/>
      </right>
      <top/>
      <bottom/>
      <diagonal/>
    </border>
    <border>
      <left/>
      <right/>
      <top/>
      <bottom style="hair">
        <color indexed="64"/>
      </bottom>
      <diagonal/>
    </border>
    <border>
      <left/>
      <right style="thin">
        <color indexed="64"/>
      </right>
      <top/>
      <bottom style="thin">
        <color indexed="64"/>
      </bottom>
      <diagonal/>
    </border>
  </borders>
  <cellStyleXfs count="7">
    <xf numFmtId="0" fontId="0" fillId="0" borderId="0"/>
    <xf numFmtId="0" fontId="2" fillId="0" borderId="0" applyNumberFormat="0" applyFill="0" applyBorder="0" applyAlignment="0" applyProtection="0"/>
    <xf numFmtId="43" fontId="3" fillId="0" borderId="0" applyFont="0" applyFill="0" applyBorder="0" applyAlignment="0" applyProtection="0"/>
    <xf numFmtId="0" fontId="13" fillId="0" borderId="0"/>
    <xf numFmtId="0" fontId="3" fillId="0" borderId="0"/>
    <xf numFmtId="0" fontId="14" fillId="0" borderId="0"/>
    <xf numFmtId="0" fontId="15" fillId="0" borderId="0" applyNumberFormat="0" applyFill="0" applyBorder="0" applyAlignment="0" applyProtection="0"/>
  </cellStyleXfs>
  <cellXfs count="203">
    <xf numFmtId="0" fontId="0" fillId="0" borderId="0" xfId="0"/>
    <xf numFmtId="0" fontId="4" fillId="0" borderId="0" xfId="0" applyFont="1" applyFill="1" applyAlignment="1"/>
    <xf numFmtId="0" fontId="4" fillId="5" borderId="3" xfId="0" applyNumberFormat="1" applyFont="1" applyFill="1" applyBorder="1" applyAlignment="1">
      <alignment horizontal="center" vertical="center" wrapText="1"/>
    </xf>
    <xf numFmtId="0" fontId="4" fillId="7" borderId="3" xfId="0" applyNumberFormat="1" applyFont="1" applyFill="1" applyBorder="1" applyAlignment="1">
      <alignment horizontal="center" vertical="center" wrapText="1"/>
    </xf>
    <xf numFmtId="0" fontId="6" fillId="0" borderId="0" xfId="0" applyFont="1" applyFill="1" applyAlignment="1">
      <alignment wrapText="1"/>
    </xf>
    <xf numFmtId="0" fontId="7" fillId="0" borderId="0" xfId="0" applyFont="1" applyFill="1" applyAlignment="1"/>
    <xf numFmtId="0" fontId="8" fillId="0" borderId="0" xfId="0" applyFont="1" applyFill="1" applyAlignment="1"/>
    <xf numFmtId="0" fontId="7" fillId="0" borderId="0" xfId="0" applyFont="1" applyFill="1"/>
    <xf numFmtId="0" fontId="4" fillId="0" borderId="0" xfId="0" applyFont="1" applyBorder="1" applyAlignment="1"/>
    <xf numFmtId="0" fontId="7" fillId="0" borderId="0" xfId="0" applyFont="1" applyBorder="1" applyAlignment="1"/>
    <xf numFmtId="0" fontId="7" fillId="0" borderId="0" xfId="0" applyFont="1" applyBorder="1" applyAlignment="1">
      <alignment wrapText="1"/>
    </xf>
    <xf numFmtId="0" fontId="7" fillId="0" borderId="0" xfId="0" applyFont="1" applyBorder="1" applyAlignment="1">
      <alignment horizontal="left" wrapText="1"/>
    </xf>
    <xf numFmtId="0" fontId="7" fillId="0" borderId="0" xfId="0" applyFont="1" applyBorder="1" applyAlignment="1">
      <alignment horizontal="left"/>
    </xf>
    <xf numFmtId="0" fontId="4" fillId="4" borderId="3" xfId="0" applyNumberFormat="1" applyFont="1" applyFill="1" applyBorder="1" applyAlignment="1">
      <alignment horizontal="center" vertical="center" wrapText="1"/>
    </xf>
    <xf numFmtId="0" fontId="4" fillId="10" borderId="3" xfId="0" applyNumberFormat="1" applyFont="1" applyFill="1" applyBorder="1" applyAlignment="1">
      <alignment horizontal="center" vertical="center" wrapText="1"/>
    </xf>
    <xf numFmtId="0" fontId="4" fillId="12"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1" xfId="0" applyFont="1" applyBorder="1" applyAlignment="1">
      <alignment horizontal="center" vertical="center"/>
    </xf>
    <xf numFmtId="0" fontId="7" fillId="0" borderId="0" xfId="0" applyFont="1" applyBorder="1" applyAlignment="1">
      <alignment horizontal="center" vertical="center" wrapText="1"/>
    </xf>
    <xf numFmtId="0" fontId="8" fillId="0" borderId="3" xfId="0" applyFont="1" applyFill="1" applyBorder="1" applyAlignment="1">
      <alignment horizontal="left" vertical="center"/>
    </xf>
    <xf numFmtId="0" fontId="7" fillId="0" borderId="0" xfId="0" applyFont="1" applyBorder="1" applyAlignment="1">
      <alignment horizontal="left" vertical="center" wrapText="1"/>
    </xf>
    <xf numFmtId="0" fontId="7" fillId="0" borderId="0" xfId="0" applyFont="1" applyBorder="1" applyAlignment="1">
      <alignment horizontal="left" vertical="center"/>
    </xf>
    <xf numFmtId="0" fontId="4" fillId="7" borderId="3" xfId="0" applyNumberFormat="1" applyFont="1" applyFill="1" applyBorder="1" applyAlignment="1">
      <alignment horizontal="left" vertical="center" wrapText="1"/>
    </xf>
    <xf numFmtId="0" fontId="7" fillId="0" borderId="0" xfId="0" applyFont="1" applyAlignment="1"/>
    <xf numFmtId="0" fontId="12" fillId="0" borderId="0" xfId="0" applyFont="1" applyAlignment="1">
      <alignment wrapText="1"/>
    </xf>
    <xf numFmtId="0" fontId="7" fillId="0" borderId="0" xfId="0" applyFont="1" applyAlignment="1">
      <alignment horizontal="center" vertical="center"/>
    </xf>
    <xf numFmtId="0" fontId="12" fillId="0" borderId="0" xfId="0" applyFont="1" applyAlignment="1">
      <alignment horizontal="center" vertical="center" wrapText="1"/>
    </xf>
    <xf numFmtId="0" fontId="4" fillId="0" borderId="0" xfId="0" applyFont="1" applyAlignment="1"/>
    <xf numFmtId="3" fontId="4" fillId="17" borderId="3" xfId="0" applyNumberFormat="1" applyFont="1" applyFill="1" applyBorder="1" applyAlignment="1">
      <alignment horizontal="center" vertical="center" wrapText="1"/>
    </xf>
    <xf numFmtId="3" fontId="7" fillId="0" borderId="0" xfId="0" applyNumberFormat="1" applyFont="1" applyBorder="1" applyAlignment="1">
      <alignment horizontal="center" vertical="center"/>
    </xf>
    <xf numFmtId="3" fontId="4" fillId="12" borderId="3" xfId="0" applyNumberFormat="1" applyFont="1" applyFill="1" applyBorder="1" applyAlignment="1">
      <alignment horizontal="center" vertical="center" wrapText="1"/>
    </xf>
    <xf numFmtId="0" fontId="7" fillId="0" borderId="3" xfId="0" applyNumberFormat="1"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4" fillId="10" borderId="11" xfId="0" applyNumberFormat="1" applyFont="1" applyFill="1" applyBorder="1" applyAlignment="1">
      <alignment horizontal="center" vertical="center" wrapText="1"/>
    </xf>
    <xf numFmtId="0" fontId="7" fillId="0" borderId="0" xfId="0" applyFont="1" applyBorder="1" applyAlignment="1">
      <alignment vertical="center" wrapText="1"/>
    </xf>
    <xf numFmtId="0" fontId="16" fillId="0" borderId="0" xfId="0" applyFont="1"/>
    <xf numFmtId="0" fontId="17" fillId="0" borderId="0" xfId="0" applyFont="1"/>
    <xf numFmtId="0" fontId="17" fillId="0" borderId="0" xfId="0" applyFont="1" applyAlignment="1"/>
    <xf numFmtId="164" fontId="16" fillId="0" borderId="0" xfId="2" applyNumberFormat="1" applyFont="1" applyAlignment="1"/>
    <xf numFmtId="0" fontId="16" fillId="0" borderId="0" xfId="0" applyFont="1" applyAlignment="1"/>
    <xf numFmtId="0" fontId="7" fillId="0" borderId="0" xfId="0" applyFont="1" applyFill="1" applyAlignment="1">
      <alignment horizontal="left" vertical="center"/>
    </xf>
    <xf numFmtId="0" fontId="4" fillId="12" borderId="11" xfId="0" applyNumberFormat="1" applyFont="1" applyFill="1" applyBorder="1" applyAlignment="1">
      <alignment horizontal="center" vertical="center" wrapText="1"/>
    </xf>
    <xf numFmtId="0" fontId="4" fillId="12" borderId="5" xfId="0" applyNumberFormat="1" applyFont="1" applyFill="1" applyBorder="1" applyAlignment="1">
      <alignment horizontal="center" vertical="center" wrapText="1"/>
    </xf>
    <xf numFmtId="0" fontId="7" fillId="0" borderId="0" xfId="0" applyFont="1" applyFill="1" applyBorder="1" applyAlignment="1">
      <alignment horizontal="left" vertical="center"/>
    </xf>
    <xf numFmtId="0" fontId="8" fillId="0" borderId="3" xfId="0" applyFont="1" applyBorder="1" applyAlignment="1">
      <alignment horizontal="left" vertical="center" wrapText="1"/>
    </xf>
    <xf numFmtId="0" fontId="4" fillId="2" borderId="0" xfId="0" applyFont="1" applyFill="1" applyBorder="1" applyAlignment="1"/>
    <xf numFmtId="0" fontId="7" fillId="2" borderId="0" xfId="0" applyFont="1" applyFill="1" applyBorder="1" applyAlignment="1">
      <alignment wrapText="1"/>
    </xf>
    <xf numFmtId="0" fontId="7" fillId="2" borderId="0" xfId="0" applyFont="1" applyFill="1" applyBorder="1" applyAlignment="1"/>
    <xf numFmtId="0" fontId="7" fillId="2" borderId="0" xfId="0" applyFont="1" applyFill="1" applyBorder="1" applyAlignment="1">
      <alignment horizontal="left" wrapText="1"/>
    </xf>
    <xf numFmtId="0" fontId="7" fillId="2" borderId="0" xfId="0" applyFont="1" applyFill="1" applyBorder="1" applyAlignment="1">
      <alignment horizontal="left"/>
    </xf>
    <xf numFmtId="0" fontId="8" fillId="0" borderId="0" xfId="0" applyFont="1" applyBorder="1" applyAlignment="1"/>
    <xf numFmtId="0" fontId="16" fillId="5" borderId="0" xfId="0" applyFont="1" applyFill="1"/>
    <xf numFmtId="14" fontId="7" fillId="19" borderId="3" xfId="0" applyNumberFormat="1" applyFont="1" applyFill="1" applyBorder="1" applyAlignment="1">
      <alignment horizontal="center" vertical="center"/>
    </xf>
    <xf numFmtId="14" fontId="8" fillId="19" borderId="3" xfId="0" applyNumberFormat="1" applyFont="1" applyFill="1" applyBorder="1" applyAlignment="1">
      <alignment horizontal="center" vertical="center"/>
    </xf>
    <xf numFmtId="1" fontId="4" fillId="0" borderId="3" xfId="0" applyNumberFormat="1" applyFont="1" applyFill="1" applyBorder="1" applyAlignment="1">
      <alignment horizontal="center"/>
    </xf>
    <xf numFmtId="1" fontId="6" fillId="0" borderId="3" xfId="0" applyNumberFormat="1" applyFont="1" applyFill="1" applyBorder="1" applyAlignment="1">
      <alignment horizontal="center" wrapText="1"/>
    </xf>
    <xf numFmtId="1" fontId="4" fillId="17" borderId="3" xfId="0" applyNumberFormat="1" applyFont="1" applyFill="1" applyBorder="1" applyAlignment="1">
      <alignment horizontal="center" vertical="center" wrapText="1"/>
    </xf>
    <xf numFmtId="1" fontId="4" fillId="5" borderId="3" xfId="0" applyNumberFormat="1" applyFont="1" applyFill="1" applyBorder="1" applyAlignment="1">
      <alignment horizontal="center" vertical="center" wrapText="1"/>
    </xf>
    <xf numFmtId="1" fontId="4" fillId="10" borderId="3" xfId="0" applyNumberFormat="1" applyFont="1" applyFill="1" applyBorder="1" applyAlignment="1">
      <alignment horizontal="center" vertical="center" wrapText="1"/>
    </xf>
    <xf numFmtId="1" fontId="4" fillId="7" borderId="3" xfId="0" applyNumberFormat="1" applyFont="1" applyFill="1" applyBorder="1" applyAlignment="1">
      <alignment horizontal="center" vertical="center" wrapText="1"/>
    </xf>
    <xf numFmtId="1" fontId="4" fillId="4" borderId="3" xfId="0" applyNumberFormat="1" applyFont="1" applyFill="1" applyBorder="1" applyAlignment="1">
      <alignment horizontal="center" vertical="center" wrapText="1"/>
    </xf>
    <xf numFmtId="1" fontId="4" fillId="12" borderId="3" xfId="0" applyNumberFormat="1" applyFont="1" applyFill="1" applyBorder="1" applyAlignment="1">
      <alignment horizontal="center" vertical="center" wrapText="1"/>
    </xf>
    <xf numFmtId="1" fontId="18" fillId="12" borderId="3" xfId="0" applyNumberFormat="1" applyFont="1" applyFill="1" applyBorder="1" applyAlignment="1">
      <alignment horizontal="center" vertical="center" wrapText="1"/>
    </xf>
    <xf numFmtId="1" fontId="4" fillId="14" borderId="3" xfId="0" applyNumberFormat="1" applyFont="1" applyFill="1" applyBorder="1" applyAlignment="1">
      <alignment horizontal="center" vertical="center" wrapText="1"/>
    </xf>
    <xf numFmtId="1" fontId="18" fillId="4" borderId="3" xfId="0" applyNumberFormat="1" applyFont="1" applyFill="1" applyBorder="1" applyAlignment="1">
      <alignment horizontal="center" vertical="center" wrapText="1"/>
    </xf>
    <xf numFmtId="1" fontId="7" fillId="0" borderId="3" xfId="0" applyNumberFormat="1" applyFont="1" applyFill="1" applyBorder="1" applyAlignment="1">
      <alignment horizontal="center"/>
    </xf>
    <xf numFmtId="1" fontId="7" fillId="19" borderId="3" xfId="0" applyNumberFormat="1" applyFont="1" applyFill="1" applyBorder="1" applyAlignment="1">
      <alignment horizontal="center" vertical="center"/>
    </xf>
    <xf numFmtId="1" fontId="8" fillId="19" borderId="3" xfId="0" applyNumberFormat="1" applyFont="1" applyFill="1" applyBorder="1" applyAlignment="1">
      <alignment horizontal="center" vertical="center"/>
    </xf>
    <xf numFmtId="1" fontId="9" fillId="19" borderId="3" xfId="1" applyNumberFormat="1" applyFont="1" applyFill="1" applyBorder="1" applyAlignment="1">
      <alignment horizontal="center" vertical="center"/>
    </xf>
    <xf numFmtId="1" fontId="8" fillId="19" borderId="3" xfId="0" applyNumberFormat="1" applyFont="1" applyFill="1" applyBorder="1" applyAlignment="1">
      <alignment horizontal="center" vertical="center" wrapText="1"/>
    </xf>
    <xf numFmtId="1" fontId="7" fillId="21" borderId="3" xfId="0" applyNumberFormat="1" applyFont="1" applyFill="1" applyBorder="1" applyAlignment="1">
      <alignment horizontal="center" vertical="center"/>
    </xf>
    <xf numFmtId="1" fontId="7" fillId="21" borderId="3" xfId="0" applyNumberFormat="1" applyFont="1" applyFill="1" applyBorder="1" applyAlignment="1">
      <alignment horizontal="center" vertical="center" wrapText="1"/>
    </xf>
    <xf numFmtId="1" fontId="7" fillId="22" borderId="3" xfId="0" applyNumberFormat="1" applyFont="1" applyFill="1" applyBorder="1" applyAlignment="1">
      <alignment horizontal="center" wrapText="1"/>
    </xf>
    <xf numFmtId="1" fontId="7" fillId="20" borderId="3" xfId="0" applyNumberFormat="1" applyFont="1" applyFill="1" applyBorder="1" applyAlignment="1">
      <alignment horizontal="center" vertical="center" wrapText="1"/>
    </xf>
    <xf numFmtId="1" fontId="7" fillId="22" borderId="3" xfId="0" applyNumberFormat="1" applyFont="1" applyFill="1" applyBorder="1" applyAlignment="1">
      <alignment horizontal="center" vertical="center" wrapText="1"/>
    </xf>
    <xf numFmtId="1" fontId="8" fillId="21" borderId="3" xfId="0" applyNumberFormat="1" applyFont="1" applyFill="1" applyBorder="1" applyAlignment="1">
      <alignment horizontal="center" vertical="center"/>
    </xf>
    <xf numFmtId="1" fontId="7" fillId="20" borderId="3" xfId="0" applyNumberFormat="1" applyFont="1" applyFill="1" applyBorder="1" applyAlignment="1">
      <alignment horizontal="center" wrapText="1"/>
    </xf>
    <xf numFmtId="1" fontId="9" fillId="19" borderId="3" xfId="1" applyNumberFormat="1" applyFont="1" applyFill="1" applyBorder="1" applyAlignment="1">
      <alignment horizontal="center" vertical="center" wrapText="1"/>
    </xf>
    <xf numFmtId="1" fontId="16" fillId="19" borderId="3" xfId="0" applyNumberFormat="1" applyFont="1" applyFill="1" applyBorder="1" applyAlignment="1">
      <alignment horizontal="center" vertical="center"/>
    </xf>
    <xf numFmtId="1" fontId="8" fillId="20" borderId="3" xfId="0" applyNumberFormat="1" applyFont="1" applyFill="1" applyBorder="1" applyAlignment="1">
      <alignment horizontal="center" vertical="center" wrapText="1"/>
    </xf>
    <xf numFmtId="1" fontId="8" fillId="21" borderId="3" xfId="0" applyNumberFormat="1" applyFont="1" applyFill="1" applyBorder="1" applyAlignment="1">
      <alignment horizontal="center" vertical="center" wrapText="1"/>
    </xf>
    <xf numFmtId="14" fontId="4" fillId="17" borderId="3" xfId="0" applyNumberFormat="1" applyFont="1" applyFill="1" applyBorder="1" applyAlignment="1">
      <alignment horizontal="center" vertical="center" wrapText="1"/>
    </xf>
    <xf numFmtId="14" fontId="7" fillId="19" borderId="3" xfId="0" applyNumberFormat="1" applyFont="1" applyFill="1" applyBorder="1" applyAlignment="1">
      <alignment horizontal="center"/>
    </xf>
    <xf numFmtId="14" fontId="8" fillId="19" borderId="3" xfId="0" applyNumberFormat="1" applyFont="1" applyFill="1" applyBorder="1" applyAlignment="1">
      <alignment horizontal="center"/>
    </xf>
    <xf numFmtId="14" fontId="7" fillId="0" borderId="0" xfId="0" applyNumberFormat="1" applyFont="1" applyBorder="1" applyAlignment="1">
      <alignment horizontal="center" vertical="center"/>
    </xf>
    <xf numFmtId="1" fontId="7" fillId="23" borderId="3" xfId="0" applyNumberFormat="1" applyFont="1" applyFill="1" applyBorder="1" applyAlignment="1">
      <alignment horizontal="center" vertical="center"/>
    </xf>
    <xf numFmtId="1" fontId="10" fillId="23" borderId="3" xfId="0" applyNumberFormat="1" applyFont="1" applyFill="1" applyBorder="1" applyAlignment="1">
      <alignment horizontal="center" vertical="center"/>
    </xf>
    <xf numFmtId="1" fontId="8" fillId="23" borderId="3" xfId="0" applyNumberFormat="1" applyFont="1" applyFill="1" applyBorder="1" applyAlignment="1">
      <alignment horizontal="center" vertical="center"/>
    </xf>
    <xf numFmtId="1" fontId="9" fillId="23" borderId="3" xfId="1" applyNumberFormat="1" applyFont="1" applyFill="1" applyBorder="1" applyAlignment="1">
      <alignment horizontal="center" vertical="center"/>
    </xf>
    <xf numFmtId="1" fontId="7" fillId="24" borderId="3" xfId="0" applyNumberFormat="1" applyFont="1" applyFill="1" applyBorder="1" applyAlignment="1">
      <alignment horizontal="center" vertical="center"/>
    </xf>
    <xf numFmtId="1" fontId="16" fillId="24" borderId="3" xfId="0" applyNumberFormat="1" applyFont="1" applyFill="1" applyBorder="1" applyAlignment="1">
      <alignment horizontal="center" vertical="center"/>
    </xf>
    <xf numFmtId="1" fontId="8" fillId="24" borderId="3" xfId="0" applyNumberFormat="1" applyFont="1" applyFill="1" applyBorder="1" applyAlignment="1">
      <alignment horizontal="center" vertical="center"/>
    </xf>
    <xf numFmtId="1" fontId="7" fillId="25" borderId="3" xfId="0" applyNumberFormat="1" applyFont="1" applyFill="1" applyBorder="1" applyAlignment="1">
      <alignment horizontal="center" wrapText="1"/>
    </xf>
    <xf numFmtId="1" fontId="7" fillId="25" borderId="3" xfId="0" applyNumberFormat="1" applyFont="1" applyFill="1" applyBorder="1" applyAlignment="1">
      <alignment horizontal="center" vertical="center" wrapText="1"/>
    </xf>
    <xf numFmtId="1" fontId="16" fillId="25" borderId="3" xfId="0" applyNumberFormat="1" applyFont="1" applyFill="1" applyBorder="1" applyAlignment="1">
      <alignment horizontal="center" vertical="center"/>
    </xf>
    <xf numFmtId="1" fontId="19" fillId="25" borderId="3" xfId="1" applyNumberFormat="1" applyFont="1" applyFill="1" applyBorder="1" applyAlignment="1">
      <alignment horizontal="center" vertical="center"/>
    </xf>
    <xf numFmtId="2" fontId="7" fillId="21" borderId="3" xfId="0" applyNumberFormat="1" applyFont="1" applyFill="1" applyBorder="1" applyAlignment="1">
      <alignment horizontal="center" vertical="center"/>
    </xf>
    <xf numFmtId="2" fontId="8" fillId="21" borderId="3" xfId="0" applyNumberFormat="1" applyFont="1" applyFill="1" applyBorder="1" applyAlignment="1">
      <alignment horizontal="center" vertical="center"/>
    </xf>
    <xf numFmtId="2" fontId="4" fillId="4" borderId="3" xfId="0" applyNumberFormat="1" applyFont="1" applyFill="1" applyBorder="1" applyAlignment="1">
      <alignment horizontal="center" vertical="center" wrapText="1"/>
    </xf>
    <xf numFmtId="2" fontId="7" fillId="20" borderId="3" xfId="0" applyNumberFormat="1" applyFont="1" applyFill="1" applyBorder="1" applyAlignment="1">
      <alignment horizontal="center" vertical="center" wrapText="1"/>
    </xf>
    <xf numFmtId="2" fontId="7" fillId="20" borderId="3" xfId="0" applyNumberFormat="1" applyFont="1" applyFill="1" applyBorder="1" applyAlignment="1">
      <alignment horizontal="center" wrapText="1"/>
    </xf>
    <xf numFmtId="2" fontId="7" fillId="20" borderId="3" xfId="0" applyNumberFormat="1" applyFont="1" applyFill="1" applyBorder="1" applyAlignment="1">
      <alignment horizontal="center" vertical="center"/>
    </xf>
    <xf numFmtId="2" fontId="8" fillId="20" borderId="3" xfId="0" applyNumberFormat="1" applyFont="1" applyFill="1" applyBorder="1" applyAlignment="1">
      <alignment horizontal="center" vertical="center" wrapText="1"/>
    </xf>
    <xf numFmtId="2" fontId="7" fillId="0" borderId="0" xfId="0" applyNumberFormat="1" applyFont="1" applyBorder="1" applyAlignment="1">
      <alignment horizontal="center" vertical="center"/>
    </xf>
    <xf numFmtId="2" fontId="7" fillId="0" borderId="0" xfId="0" applyNumberFormat="1" applyFont="1" applyBorder="1" applyAlignment="1">
      <alignment horizontal="center" vertical="center" wrapText="1"/>
    </xf>
    <xf numFmtId="2" fontId="4" fillId="7" borderId="3" xfId="0" applyNumberFormat="1" applyFont="1" applyFill="1" applyBorder="1" applyAlignment="1">
      <alignment horizontal="center" vertical="center" wrapText="1"/>
    </xf>
    <xf numFmtId="2" fontId="7" fillId="25" borderId="3" xfId="0" applyNumberFormat="1" applyFont="1" applyFill="1" applyBorder="1" applyAlignment="1">
      <alignment horizontal="center" vertical="center"/>
    </xf>
    <xf numFmtId="2" fontId="8" fillId="25" borderId="3" xfId="0" applyNumberFormat="1" applyFont="1" applyFill="1" applyBorder="1" applyAlignment="1">
      <alignment horizontal="center" vertical="center"/>
    </xf>
    <xf numFmtId="2" fontId="7" fillId="0" borderId="0" xfId="0" applyNumberFormat="1" applyFont="1" applyBorder="1" applyAlignment="1">
      <alignment horizontal="left" vertical="center" wrapText="1"/>
    </xf>
    <xf numFmtId="2" fontId="4" fillId="5" borderId="3"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2" fontId="4" fillId="10" borderId="3" xfId="0" applyNumberFormat="1" applyFont="1" applyFill="1" applyBorder="1" applyAlignment="1">
      <alignment horizontal="center" vertical="center" wrapText="1"/>
    </xf>
    <xf numFmtId="2" fontId="7" fillId="22" borderId="3" xfId="0" applyNumberFormat="1" applyFont="1" applyFill="1" applyBorder="1" applyAlignment="1">
      <alignment horizontal="center" vertical="center"/>
    </xf>
    <xf numFmtId="2" fontId="8" fillId="22" borderId="3" xfId="0" applyNumberFormat="1" applyFont="1" applyFill="1" applyBorder="1" applyAlignment="1">
      <alignment horizontal="center" vertical="center"/>
    </xf>
    <xf numFmtId="2" fontId="7" fillId="25" borderId="0" xfId="0" applyNumberFormat="1" applyFont="1" applyFill="1" applyBorder="1" applyAlignment="1">
      <alignment horizontal="center" vertical="center"/>
    </xf>
    <xf numFmtId="0" fontId="7" fillId="19" borderId="3" xfId="0" applyFont="1" applyFill="1" applyBorder="1" applyAlignment="1">
      <alignment horizontal="center" vertical="center"/>
    </xf>
    <xf numFmtId="0" fontId="7" fillId="19" borderId="3" xfId="0" applyFont="1" applyFill="1" applyBorder="1" applyAlignment="1">
      <alignment horizontal="left" vertical="center" wrapText="1"/>
    </xf>
    <xf numFmtId="0" fontId="7" fillId="19" borderId="3" xfId="0" applyFont="1" applyFill="1" applyBorder="1" applyAlignment="1">
      <alignment horizontal="left" vertical="center"/>
    </xf>
    <xf numFmtId="0" fontId="9" fillId="19" borderId="3" xfId="1" applyFont="1" applyFill="1" applyBorder="1" applyAlignment="1">
      <alignment horizontal="left" vertical="center" wrapText="1"/>
    </xf>
    <xf numFmtId="0" fontId="8" fillId="19" borderId="3" xfId="0" applyFont="1" applyFill="1" applyBorder="1" applyAlignment="1">
      <alignment horizontal="left" vertical="center" wrapText="1"/>
    </xf>
    <xf numFmtId="0" fontId="7" fillId="21" borderId="3" xfId="0" applyFont="1" applyFill="1" applyBorder="1" applyAlignment="1">
      <alignment horizontal="left" wrapText="1"/>
    </xf>
    <xf numFmtId="0" fontId="7" fillId="22" borderId="3" xfId="0" applyFont="1" applyFill="1" applyBorder="1" applyAlignment="1">
      <alignment horizontal="left" wrapText="1"/>
    </xf>
    <xf numFmtId="2" fontId="7" fillId="22" borderId="3" xfId="0" applyNumberFormat="1" applyFont="1" applyFill="1" applyBorder="1" applyAlignment="1">
      <alignment horizontal="center" vertical="center" wrapText="1"/>
    </xf>
    <xf numFmtId="0" fontId="7" fillId="25" borderId="3" xfId="0" applyFont="1" applyFill="1" applyBorder="1" applyAlignment="1">
      <alignment horizontal="left" wrapText="1"/>
    </xf>
    <xf numFmtId="0" fontId="7" fillId="20" borderId="3" xfId="0" applyFont="1" applyFill="1" applyBorder="1" applyAlignment="1">
      <alignment horizontal="right" wrapText="1"/>
    </xf>
    <xf numFmtId="0" fontId="7" fillId="23" borderId="3" xfId="0" applyFont="1" applyFill="1" applyBorder="1" applyAlignment="1">
      <alignment horizontal="center" vertical="center"/>
    </xf>
    <xf numFmtId="0" fontId="11" fillId="0" borderId="0" xfId="0" applyFont="1" applyFill="1" applyAlignment="1"/>
    <xf numFmtId="0" fontId="7" fillId="0" borderId="0" xfId="0" applyFont="1" applyFill="1" applyBorder="1" applyAlignment="1"/>
    <xf numFmtId="0" fontId="8" fillId="19" borderId="3" xfId="0" applyFont="1" applyFill="1" applyBorder="1" applyAlignment="1">
      <alignment horizontal="center" vertical="center"/>
    </xf>
    <xf numFmtId="0" fontId="8" fillId="19" borderId="3" xfId="0" applyFont="1" applyFill="1" applyBorder="1" applyAlignment="1">
      <alignment horizontal="left" vertical="center"/>
    </xf>
    <xf numFmtId="0" fontId="8" fillId="23" borderId="3" xfId="0" applyFont="1" applyFill="1" applyBorder="1" applyAlignment="1">
      <alignment horizontal="center" vertical="center"/>
    </xf>
    <xf numFmtId="1" fontId="8" fillId="22" borderId="3" xfId="0" applyNumberFormat="1" applyFont="1" applyFill="1" applyBorder="1" applyAlignment="1">
      <alignment horizontal="center" vertical="center" wrapText="1"/>
    </xf>
    <xf numFmtId="0" fontId="20" fillId="19" borderId="3" xfId="1" applyFont="1" applyFill="1" applyBorder="1" applyAlignment="1">
      <alignment horizontal="left" vertical="center" wrapText="1"/>
    </xf>
    <xf numFmtId="1" fontId="8" fillId="25" borderId="3" xfId="0" applyNumberFormat="1" applyFont="1" applyFill="1" applyBorder="1" applyAlignment="1">
      <alignment horizontal="center" vertical="center" wrapText="1"/>
    </xf>
    <xf numFmtId="0" fontId="4" fillId="10" borderId="3" xfId="0" applyNumberFormat="1" applyFont="1" applyFill="1" applyBorder="1" applyAlignment="1">
      <alignment horizontal="left" vertical="center" wrapText="1"/>
    </xf>
    <xf numFmtId="0" fontId="7" fillId="22" borderId="3" xfId="0" applyFont="1" applyFill="1" applyBorder="1" applyAlignment="1">
      <alignment horizontal="left" vertical="center" wrapText="1"/>
    </xf>
    <xf numFmtId="0" fontId="8" fillId="22" borderId="3" xfId="0" applyFont="1" applyFill="1" applyBorder="1" applyAlignment="1">
      <alignment horizontal="left" vertical="center" wrapText="1"/>
    </xf>
    <xf numFmtId="0" fontId="4" fillId="5" borderId="10" xfId="0" applyNumberFormat="1" applyFont="1" applyFill="1" applyBorder="1" applyAlignment="1">
      <alignment horizontal="left" vertical="center" wrapText="1"/>
    </xf>
    <xf numFmtId="0" fontId="7" fillId="21" borderId="3" xfId="0" applyFont="1" applyFill="1" applyBorder="1" applyAlignment="1">
      <alignment horizontal="left" vertical="center" wrapText="1"/>
    </xf>
    <xf numFmtId="0" fontId="7" fillId="21" borderId="3" xfId="0" applyFont="1" applyFill="1" applyBorder="1" applyAlignment="1">
      <alignment horizontal="left" vertical="center"/>
    </xf>
    <xf numFmtId="0" fontId="8" fillId="21" borderId="3" xfId="0" applyFont="1" applyFill="1" applyBorder="1" applyAlignment="1">
      <alignment horizontal="left" vertical="center" wrapText="1"/>
    </xf>
    <xf numFmtId="0" fontId="7" fillId="25" borderId="3" xfId="0" applyFont="1" applyFill="1" applyBorder="1" applyAlignment="1">
      <alignment horizontal="left" vertical="center" wrapText="1"/>
    </xf>
    <xf numFmtId="0" fontId="7" fillId="25" borderId="3" xfId="0" applyFont="1" applyFill="1" applyBorder="1" applyAlignment="1">
      <alignment horizontal="left" vertical="center"/>
    </xf>
    <xf numFmtId="0" fontId="8" fillId="25" borderId="3" xfId="0" applyFont="1" applyFill="1" applyBorder="1" applyAlignment="1">
      <alignment horizontal="left" vertical="center" wrapText="1"/>
    </xf>
    <xf numFmtId="0" fontId="4" fillId="4" borderId="10" xfId="0" applyNumberFormat="1" applyFont="1" applyFill="1" applyBorder="1" applyAlignment="1">
      <alignment horizontal="left" vertical="center" wrapText="1"/>
    </xf>
    <xf numFmtId="0" fontId="7" fillId="20" borderId="3" xfId="0" applyFont="1" applyFill="1" applyBorder="1" applyAlignment="1">
      <alignment horizontal="left" vertical="center" wrapText="1"/>
    </xf>
    <xf numFmtId="0" fontId="7" fillId="20" borderId="3" xfId="0" applyFont="1" applyFill="1" applyBorder="1" applyAlignment="1">
      <alignment horizontal="left" vertical="center"/>
    </xf>
    <xf numFmtId="0" fontId="8" fillId="20" borderId="3" xfId="0" applyFont="1" applyFill="1" applyBorder="1" applyAlignment="1">
      <alignment horizontal="left" vertical="center" wrapText="1"/>
    </xf>
    <xf numFmtId="164" fontId="5" fillId="16" borderId="3" xfId="2" applyNumberFormat="1" applyFont="1" applyFill="1" applyBorder="1" applyAlignment="1">
      <alignment vertical="center"/>
    </xf>
    <xf numFmtId="164" fontId="4" fillId="17" borderId="3" xfId="2" applyNumberFormat="1" applyFont="1" applyFill="1" applyBorder="1" applyAlignment="1">
      <alignment horizontal="center" vertical="center" wrapText="1"/>
    </xf>
    <xf numFmtId="164" fontId="8" fillId="19" borderId="3" xfId="2" applyNumberFormat="1" applyFont="1" applyFill="1" applyBorder="1" applyAlignment="1">
      <alignment horizontal="center" vertical="center"/>
    </xf>
    <xf numFmtId="164" fontId="7" fillId="0" borderId="0" xfId="2" applyNumberFormat="1" applyFont="1" applyBorder="1" applyAlignment="1">
      <alignment horizontal="center" vertical="center"/>
    </xf>
    <xf numFmtId="0" fontId="21" fillId="0" borderId="0" xfId="0" applyFont="1" applyAlignment="1">
      <alignment horizontal="center" vertical="center"/>
    </xf>
    <xf numFmtId="1" fontId="21" fillId="24" borderId="3" xfId="0" applyNumberFormat="1" applyFont="1" applyFill="1" applyBorder="1" applyAlignment="1">
      <alignment horizontal="center" vertical="center"/>
    </xf>
    <xf numFmtId="1" fontId="22" fillId="14" borderId="3" xfId="0" applyNumberFormat="1" applyFont="1" applyFill="1" applyBorder="1" applyAlignment="1">
      <alignment horizontal="center" vertical="center" wrapText="1"/>
    </xf>
    <xf numFmtId="0" fontId="7" fillId="21" borderId="3" xfId="0" applyNumberFormat="1" applyFont="1" applyFill="1" applyBorder="1" applyAlignment="1">
      <alignment horizontal="center" vertical="center"/>
    </xf>
    <xf numFmtId="0" fontId="7" fillId="26" borderId="0" xfId="0" applyFont="1" applyFill="1" applyAlignment="1"/>
    <xf numFmtId="2" fontId="8" fillId="22" borderId="3" xfId="0" applyNumberFormat="1" applyFont="1" applyFill="1" applyBorder="1" applyAlignment="1">
      <alignment horizontal="center" vertical="center" wrapText="1"/>
    </xf>
    <xf numFmtId="2" fontId="8" fillId="25" borderId="3" xfId="0" applyNumberFormat="1" applyFont="1" applyFill="1" applyBorder="1" applyAlignment="1">
      <alignment horizontal="center" vertical="center" wrapText="1"/>
    </xf>
    <xf numFmtId="2" fontId="7" fillId="25" borderId="3" xfId="0" applyNumberFormat="1" applyFont="1" applyFill="1" applyBorder="1" applyAlignment="1">
      <alignment horizontal="center" vertical="center" wrapText="1"/>
    </xf>
    <xf numFmtId="2" fontId="8" fillId="20" borderId="3" xfId="0" applyNumberFormat="1" applyFont="1" applyFill="1" applyBorder="1" applyAlignment="1">
      <alignment horizontal="center" vertical="center"/>
    </xf>
    <xf numFmtId="0" fontId="5" fillId="18" borderId="0" xfId="0" applyFont="1" applyFill="1" applyBorder="1" applyAlignment="1"/>
    <xf numFmtId="1" fontId="7" fillId="19" borderId="3" xfId="0" applyNumberFormat="1" applyFont="1" applyFill="1" applyBorder="1" applyAlignment="1">
      <alignment horizontal="left" vertical="center"/>
    </xf>
    <xf numFmtId="164" fontId="7" fillId="19" borderId="3" xfId="2" applyNumberFormat="1" applyFont="1" applyFill="1" applyBorder="1" applyAlignment="1">
      <alignment horizontal="left" vertical="center"/>
    </xf>
    <xf numFmtId="0" fontId="4" fillId="17" borderId="3" xfId="0" applyNumberFormat="1" applyFont="1" applyFill="1" applyBorder="1" applyAlignment="1">
      <alignment horizontal="center" vertical="center" wrapText="1"/>
    </xf>
    <xf numFmtId="0" fontId="5" fillId="16" borderId="2" xfId="0" applyFont="1" applyFill="1" applyBorder="1" applyAlignment="1">
      <alignment horizontal="center" vertical="center"/>
    </xf>
    <xf numFmtId="0" fontId="5" fillId="16" borderId="16" xfId="0" applyFont="1" applyFill="1" applyBorder="1" applyAlignment="1">
      <alignment horizontal="center" vertical="center"/>
    </xf>
    <xf numFmtId="0" fontId="5" fillId="8" borderId="6" xfId="0" applyFont="1" applyFill="1" applyBorder="1" applyAlignment="1">
      <alignment horizontal="left" vertical="center"/>
    </xf>
    <xf numFmtId="0" fontId="5" fillId="8" borderId="7" xfId="0" applyFont="1" applyFill="1" applyBorder="1" applyAlignment="1">
      <alignment horizontal="left" vertical="center"/>
    </xf>
    <xf numFmtId="0" fontId="5" fillId="18" borderId="15" xfId="0" applyFont="1" applyFill="1" applyBorder="1" applyAlignment="1">
      <alignment horizontal="left"/>
    </xf>
    <xf numFmtId="1" fontId="5" fillId="16" borderId="10" xfId="0" applyNumberFormat="1" applyFont="1" applyFill="1" applyBorder="1" applyAlignment="1">
      <alignment horizontal="center" vertical="center"/>
    </xf>
    <xf numFmtId="1" fontId="5" fillId="16" borderId="12" xfId="0" applyNumberFormat="1" applyFont="1" applyFill="1" applyBorder="1" applyAlignment="1">
      <alignment horizontal="center" vertical="center"/>
    </xf>
    <xf numFmtId="1" fontId="5" fillId="16" borderId="4" xfId="0" applyNumberFormat="1" applyFont="1" applyFill="1" applyBorder="1" applyAlignment="1">
      <alignment horizontal="center" vertical="center"/>
    </xf>
    <xf numFmtId="1" fontId="5" fillId="8" borderId="3" xfId="0" applyNumberFormat="1" applyFont="1" applyFill="1" applyBorder="1" applyAlignment="1">
      <alignment horizontal="center" vertical="center"/>
    </xf>
    <xf numFmtId="1" fontId="5" fillId="9" borderId="3" xfId="0" applyNumberFormat="1" applyFont="1" applyFill="1" applyBorder="1" applyAlignment="1">
      <alignment horizontal="center" vertical="center"/>
    </xf>
    <xf numFmtId="1" fontId="5" fillId="3" borderId="3" xfId="0" applyNumberFormat="1" applyFont="1" applyFill="1" applyBorder="1" applyAlignment="1">
      <alignment horizontal="center" vertical="center" wrapText="1"/>
    </xf>
    <xf numFmtId="1" fontId="5" fillId="13" borderId="3" xfId="0" applyNumberFormat="1" applyFont="1" applyFill="1" applyBorder="1" applyAlignment="1">
      <alignment horizontal="center" vertical="center"/>
    </xf>
    <xf numFmtId="1" fontId="23" fillId="13" borderId="3" xfId="0" applyNumberFormat="1" applyFont="1" applyFill="1" applyBorder="1" applyAlignment="1">
      <alignment horizontal="center" vertical="center"/>
    </xf>
    <xf numFmtId="1" fontId="5" fillId="15" borderId="3" xfId="0" applyNumberFormat="1" applyFont="1" applyFill="1" applyBorder="1" applyAlignment="1">
      <alignment horizontal="center" vertical="center"/>
    </xf>
    <xf numFmtId="1" fontId="5" fillId="6" borderId="3" xfId="0" applyNumberFormat="1" applyFont="1" applyFill="1" applyBorder="1" applyAlignment="1">
      <alignment horizontal="center" vertical="center"/>
    </xf>
    <xf numFmtId="1" fontId="5" fillId="3" borderId="3" xfId="0" applyNumberFormat="1" applyFont="1" applyFill="1" applyBorder="1" applyAlignment="1">
      <alignment horizontal="center" vertical="center"/>
    </xf>
    <xf numFmtId="1" fontId="5" fillId="11" borderId="3" xfId="0" applyNumberFormat="1" applyFont="1" applyFill="1" applyBorder="1" applyAlignment="1">
      <alignment horizontal="center" vertical="center"/>
    </xf>
    <xf numFmtId="1" fontId="5" fillId="16" borderId="13" xfId="0" applyNumberFormat="1" applyFont="1" applyFill="1" applyBorder="1" applyAlignment="1">
      <alignment horizontal="left" vertical="center"/>
    </xf>
    <xf numFmtId="1" fontId="5" fillId="16" borderId="0" xfId="0" applyNumberFormat="1" applyFont="1" applyFill="1" applyBorder="1" applyAlignment="1">
      <alignment horizontal="left" vertical="center"/>
    </xf>
    <xf numFmtId="1" fontId="5" fillId="16" borderId="14" xfId="0" applyNumberFormat="1" applyFont="1" applyFill="1" applyBorder="1" applyAlignment="1">
      <alignment horizontal="left" vertical="center"/>
    </xf>
    <xf numFmtId="0" fontId="5" fillId="11" borderId="6" xfId="0" applyFont="1" applyFill="1" applyBorder="1" applyAlignment="1">
      <alignment horizontal="center" vertical="center"/>
    </xf>
    <xf numFmtId="0" fontId="5" fillId="11" borderId="7" xfId="0" applyFont="1" applyFill="1" applyBorder="1" applyAlignment="1">
      <alignment horizontal="center" vertical="center"/>
    </xf>
    <xf numFmtId="0" fontId="5" fillId="11" borderId="9" xfId="0" applyFont="1" applyFill="1" applyBorder="1" applyAlignment="1">
      <alignment horizontal="center" vertical="center"/>
    </xf>
    <xf numFmtId="0" fontId="5" fillId="8" borderId="6" xfId="0" applyFont="1" applyFill="1" applyBorder="1" applyAlignment="1">
      <alignment horizontal="center" vertical="center"/>
    </xf>
    <xf numFmtId="0" fontId="5" fillId="8" borderId="7" xfId="0" applyFont="1" applyFill="1" applyBorder="1" applyAlignment="1">
      <alignment horizontal="center" vertical="center"/>
    </xf>
    <xf numFmtId="0" fontId="5" fillId="9" borderId="8" xfId="0" applyFont="1" applyFill="1" applyBorder="1" applyAlignment="1">
      <alignment horizontal="center" vertical="center"/>
    </xf>
    <xf numFmtId="0" fontId="5" fillId="9" borderId="7" xfId="0" applyFont="1" applyFill="1" applyBorder="1" applyAlignment="1">
      <alignment horizontal="center" vertical="center"/>
    </xf>
    <xf numFmtId="0" fontId="5" fillId="9" borderId="7" xfId="0" applyFont="1" applyFill="1" applyBorder="1" applyAlignment="1">
      <alignment horizontal="left"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9" xfId="0" applyFont="1" applyFill="1" applyBorder="1" applyAlignment="1">
      <alignment horizontal="left"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7" xfId="0" applyFont="1" applyFill="1" applyBorder="1" applyAlignment="1">
      <alignment horizontal="left" vertical="center"/>
    </xf>
    <xf numFmtId="0" fontId="7" fillId="0" borderId="0" xfId="0" applyFont="1" applyFill="1" applyBorder="1" applyAlignment="1">
      <alignment horizontal="left" wrapText="1"/>
    </xf>
  </cellXfs>
  <cellStyles count="7">
    <cellStyle name="Comma" xfId="2" builtinId="3"/>
    <cellStyle name="Hyperlink" xfId="1" builtinId="8"/>
    <cellStyle name="Hyperlink 2" xfId="6" xr:uid="{C70B0945-893E-4F36-92E6-0055D0F2AC48}"/>
    <cellStyle name="Normal" xfId="0" builtinId="0"/>
    <cellStyle name="Normal 2" xfId="3" xr:uid="{C4930763-59E8-4BAC-B3C6-F22600EF755D}"/>
    <cellStyle name="Normal 2 2" xfId="5" xr:uid="{A7A26B8F-2527-442C-8B4D-CE3BBB47D19E}"/>
    <cellStyle name="Normal 6" xfId="4" xr:uid="{BF3A08B8-0A50-430C-969E-283F0F90EE8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4F3EC"/>
      <color rgb="FFEDF7F9"/>
      <color rgb="FFFAFBF7"/>
      <color rgb="FFEEF3F8"/>
      <color rgb="FFF1EFF5"/>
      <color rgb="FFFEF9F4"/>
      <color rgb="FFEDEBDF"/>
      <color rgb="FFF6FBFC"/>
      <color rgb="FFD2FF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codepublishing.com/CA/WalnutCreek/" TargetMode="External"/><Relationship Id="rId18" Type="http://schemas.openxmlformats.org/officeDocument/2006/relationships/hyperlink" Target="https://www.codepublishing.com/CA/Fairfield/" TargetMode="External"/><Relationship Id="rId26" Type="http://schemas.openxmlformats.org/officeDocument/2006/relationships/hyperlink" Target="https://library.municode.com/ca/san_rafael/codes/code_of_ordinances" TargetMode="External"/><Relationship Id="rId39" Type="http://schemas.openxmlformats.org/officeDocument/2006/relationships/hyperlink" Target="https://library.municode.com/ca/alameda" TargetMode="External"/><Relationship Id="rId21" Type="http://schemas.openxmlformats.org/officeDocument/2006/relationships/hyperlink" Target="https://qcode.us/codes/napa/view.php?topic=city_of_napa_municipal_code-17&amp;frames=on" TargetMode="External"/><Relationship Id="rId34" Type="http://schemas.openxmlformats.org/officeDocument/2006/relationships/hyperlink" Target="https://library.municode.com/ca/richmond/codes/code_of_ordinances" TargetMode="External"/><Relationship Id="rId42" Type="http://schemas.openxmlformats.org/officeDocument/2006/relationships/hyperlink" Target="https://library.municode.com/ca/east_palo_alto/codes/code_of_ordinances?nodeId=TIT10VETR_CH10.32TRSYMAPL_10.32.040TRREPR" TargetMode="External"/><Relationship Id="rId47" Type="http://schemas.openxmlformats.org/officeDocument/2006/relationships/hyperlink" Target="http://www.ci.pleasant-hill.ca.us/BusinessDirectoryii.aspx?lngBusinessCategoryID=0&amp;txtBusinessName=costa" TargetMode="External"/><Relationship Id="rId7" Type="http://schemas.openxmlformats.org/officeDocument/2006/relationships/hyperlink" Target="https://library.municode.com/ca/windsor/codes/code_of_ordinances?nodeId=TITIVMOVETRPA_CH4TRRETRDE_ART2OP_4-4-215TRRERE" TargetMode="External"/><Relationship Id="rId2" Type="http://schemas.openxmlformats.org/officeDocument/2006/relationships/hyperlink" Target="https://www.codepublishing.com/CA/Fremont/" TargetMode="External"/><Relationship Id="rId16" Type="http://schemas.openxmlformats.org/officeDocument/2006/relationships/hyperlink" Target="https://qcode.us/codes/burlingame/" TargetMode="External"/><Relationship Id="rId29" Type="http://schemas.openxmlformats.org/officeDocument/2006/relationships/hyperlink" Target="https://library.municode.com/ca/vallejo/codes/code_of_ordinances" TargetMode="External"/><Relationship Id="rId1" Type="http://schemas.openxmlformats.org/officeDocument/2006/relationships/hyperlink" Target="https://qcode.us/codes/santarosa/?view=desktop&amp;topic=20-7-20_70-20_70_020" TargetMode="External"/><Relationship Id="rId6" Type="http://schemas.openxmlformats.org/officeDocument/2006/relationships/hyperlink" Target="https://library.municode.com/ca/windsor/codes/code_of_ordinances?nodeId=TITIVMOVETRPA_CH4TRRETRDE_ART2OP_4-4-215TRRERE" TargetMode="External"/><Relationship Id="rId11" Type="http://schemas.openxmlformats.org/officeDocument/2006/relationships/hyperlink" Target="https://www.belmont.gov/home/showdocument?id=15638" TargetMode="External"/><Relationship Id="rId24" Type="http://schemas.openxmlformats.org/officeDocument/2006/relationships/hyperlink" Target="https://www.codepublishing.com/CA/SanCarlos/" TargetMode="External"/><Relationship Id="rId32" Type="http://schemas.openxmlformats.org/officeDocument/2006/relationships/hyperlink" Target="https://www.codepublishing.com/CA/Millbrae/" TargetMode="External"/><Relationship Id="rId37" Type="http://schemas.openxmlformats.org/officeDocument/2006/relationships/hyperlink" Target="https://www.codepublishing.com/CA/Emeryville" TargetMode="External"/><Relationship Id="rId40" Type="http://schemas.openxmlformats.org/officeDocument/2006/relationships/hyperlink" Target="https://library.municode.com/ca/rohnert_park/codes/code_of_ordinances" TargetMode="External"/><Relationship Id="rId45" Type="http://schemas.openxmlformats.org/officeDocument/2006/relationships/hyperlink" Target="https://www.codepublishing.com/CA/Pittsburg/" TargetMode="External"/><Relationship Id="rId5" Type="http://schemas.openxmlformats.org/officeDocument/2006/relationships/hyperlink" Target="http://www.alamedatma.org/aboutus/" TargetMode="External"/><Relationship Id="rId15" Type="http://schemas.openxmlformats.org/officeDocument/2006/relationships/hyperlink" Target="https://library.municode.com/ca/brisbane/codes/code_of_ordinances?nodeId=TIT17ZO_CH17.14NCNECODINCBRVINCDOBR_17.14.090PA" TargetMode="External"/><Relationship Id="rId23" Type="http://schemas.openxmlformats.org/officeDocument/2006/relationships/hyperlink" Target="https://petaluma.municipal.codes/Code" TargetMode="External"/><Relationship Id="rId28" Type="http://schemas.openxmlformats.org/officeDocument/2006/relationships/hyperlink" Target="http://qcode.us/codes/southsanfrancisco/main.php" TargetMode="External"/><Relationship Id="rId36" Type="http://schemas.openxmlformats.org/officeDocument/2006/relationships/hyperlink" Target="https://library.municode.com/ca/milpitas/codes/code_of_ordinances" TargetMode="External"/><Relationship Id="rId10" Type="http://schemas.openxmlformats.org/officeDocument/2006/relationships/hyperlink" Target="https://www.codepublishing.com/CA/Livermore/" TargetMode="External"/><Relationship Id="rId19" Type="http://schemas.openxmlformats.org/officeDocument/2006/relationships/hyperlink" Target="https://www.codepublishing.com/CA/Fremont/" TargetMode="External"/><Relationship Id="rId31" Type="http://schemas.openxmlformats.org/officeDocument/2006/relationships/hyperlink" Target="https://library.municode.com/ca/redwood_city" TargetMode="External"/><Relationship Id="rId44" Type="http://schemas.openxmlformats.org/officeDocument/2006/relationships/hyperlink" Target="https://library.municode.com/ca/daly_city" TargetMode="External"/><Relationship Id="rId4" Type="http://schemas.openxmlformats.org/officeDocument/2006/relationships/hyperlink" Target="http://www.otma-pgh.org/" TargetMode="External"/><Relationship Id="rId9" Type="http://schemas.openxmlformats.org/officeDocument/2006/relationships/hyperlink" Target="https://sanmateo.ca.us.open.law/us/ca/cities/san-mateo/code/27.64.160" TargetMode="External"/><Relationship Id="rId14" Type="http://schemas.openxmlformats.org/officeDocument/2006/relationships/hyperlink" Target="https://www.codepublishing.com/CA/Benicia/" TargetMode="External"/><Relationship Id="rId22" Type="http://schemas.openxmlformats.org/officeDocument/2006/relationships/hyperlink" Target="https://library.municode.com/ca/oakland" TargetMode="External"/><Relationship Id="rId27" Type="http://schemas.openxmlformats.org/officeDocument/2006/relationships/hyperlink" Target="http://qcode.us/codes/santarosa/?view=desktop" TargetMode="External"/><Relationship Id="rId30" Type="http://schemas.openxmlformats.org/officeDocument/2006/relationships/hyperlink" Target="https://qcode.us/codes/sunnyvale/?view=desktop&amp;topic=5-5_26-5_26_040" TargetMode="External"/><Relationship Id="rId35" Type="http://schemas.openxmlformats.org/officeDocument/2006/relationships/hyperlink" Target="https://sebastopol.municipal.codes/" TargetMode="External"/><Relationship Id="rId43" Type="http://schemas.openxmlformats.org/officeDocument/2006/relationships/hyperlink" Target="https://library.municode.com/ca/morgan_hill" TargetMode="External"/><Relationship Id="rId48" Type="http://schemas.openxmlformats.org/officeDocument/2006/relationships/printerSettings" Target="../printerSettings/printerSettings2.bin"/><Relationship Id="rId8" Type="http://schemas.openxmlformats.org/officeDocument/2006/relationships/hyperlink" Target="https://library.municode.com/ca/windsor/codes/code_of_ordinances?nodeId=TITXVIDEAGSUFEDESEZOGRMA_CH6DEFE_ART1TRIMFE_16-6-110TRIMFEES" TargetMode="External"/><Relationship Id="rId3" Type="http://schemas.openxmlformats.org/officeDocument/2006/relationships/hyperlink" Target="https://library.municode.com/ca/oakland/codes/code_of_ordinances?nodeId=TIT10VETR_CH10.68EMSETRREPR" TargetMode="External"/><Relationship Id="rId12" Type="http://schemas.openxmlformats.org/officeDocument/2006/relationships/hyperlink" Target="https://www.codepublishing.com/CA/Berkeley/?Berkeley14/Berkeley1472/Berkeley1472080.html&amp;?f" TargetMode="External"/><Relationship Id="rId17" Type="http://schemas.openxmlformats.org/officeDocument/2006/relationships/hyperlink" Target="https://www.codepublishing.com/CA/Concord/" TargetMode="External"/><Relationship Id="rId25" Type="http://schemas.openxmlformats.org/officeDocument/2006/relationships/hyperlink" Target="https://library.municode.com/ca/san_jose/codes/code_of_ordinances" TargetMode="External"/><Relationship Id="rId33" Type="http://schemas.openxmlformats.org/officeDocument/2006/relationships/hyperlink" Target="https://codelibrary.amlegal.com/codes/san_francisco/latest/overview" TargetMode="External"/><Relationship Id="rId38" Type="http://schemas.openxmlformats.org/officeDocument/2006/relationships/hyperlink" Target="https://library.municode.com/ca/el_cerrito/codes/code_of_ordinances" TargetMode="External"/><Relationship Id="rId46" Type="http://schemas.openxmlformats.org/officeDocument/2006/relationships/hyperlink" Target="https://library.municode.com/ca/mountain_view/codes/code_of_ordinances" TargetMode="External"/><Relationship Id="rId20" Type="http://schemas.openxmlformats.org/officeDocument/2006/relationships/hyperlink" Target="https://library.municode.com/ca/hayward/codes/municipal_code" TargetMode="External"/><Relationship Id="rId41" Type="http://schemas.openxmlformats.org/officeDocument/2006/relationships/hyperlink" Target="https://library.municode.com/ca/newark/codes/code_of_ordinanc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codepublishing.com/CA/Fairfield/" TargetMode="External"/><Relationship Id="rId13" Type="http://schemas.openxmlformats.org/officeDocument/2006/relationships/hyperlink" Target="http://qcode.us/codes/southsanfrancisco/view.php?topic=20-20_330-20_330_007&amp;frames=on" TargetMode="External"/><Relationship Id="rId18" Type="http://schemas.openxmlformats.org/officeDocument/2006/relationships/hyperlink" Target="https://library.municode.com/ca/alameda/codes/code_of_ordinances?nodeId=CHXXXDERE_ARTIZODIRE_30-7OREPALOSPRE_30-7.6SCREMIMAOREPASP" TargetMode="External"/><Relationship Id="rId3" Type="http://schemas.openxmlformats.org/officeDocument/2006/relationships/hyperlink" Target="https://www.codepublishing.com/CA/Berkeley/html/Berkeley23E/Berkeley23E76/Berkeley23E76080.html" TargetMode="External"/><Relationship Id="rId21" Type="http://schemas.openxmlformats.org/officeDocument/2006/relationships/hyperlink" Target="https://sanmateo.ca.us.open.law/us/ca/cities/san-mateo/code/27.64.100" TargetMode="External"/><Relationship Id="rId7" Type="http://schemas.openxmlformats.org/officeDocument/2006/relationships/hyperlink" Target="https://www.codepublishing.com/CA/Concord/" TargetMode="External"/><Relationship Id="rId12" Type="http://schemas.openxmlformats.org/officeDocument/2006/relationships/hyperlink" Target="http://qcode.us/codes/southsanfrancisco/view.php?topic=20-20_250-20_250_004&amp;frames=on" TargetMode="External"/><Relationship Id="rId17" Type="http://schemas.openxmlformats.org/officeDocument/2006/relationships/hyperlink" Target="https://library.municode.com/ca/novato/codes/code_of_ordinances?nodeId=CHXIXZO_ART3SIPLGEDEST_DIV19.30PALO" TargetMode="External"/><Relationship Id="rId2" Type="http://schemas.openxmlformats.org/officeDocument/2006/relationships/hyperlink" Target="https://www.codepublishing.com/CA/Berkeley/html/Berkeley23E/Berkeley23E64/Berkeley23E64.html" TargetMode="External"/><Relationship Id="rId16" Type="http://schemas.openxmlformats.org/officeDocument/2006/relationships/hyperlink" Target="https://library.municode.com/ca/redwood_city/codes/zoning?nodeId=ART30OREPALO_30.2RENUPASPOWPAZO" TargetMode="External"/><Relationship Id="rId20" Type="http://schemas.openxmlformats.org/officeDocument/2006/relationships/hyperlink" Target="https://library.municode.com/ca/redwood_city/codes/zoning?nodeId=ART30OREPALO_30.4RENUPASPIXEZODI" TargetMode="External"/><Relationship Id="rId1" Type="http://schemas.openxmlformats.org/officeDocument/2006/relationships/hyperlink" Target="https://www.ci.benicia.ca.us/vertical/Sites/%7BF991A639-AAED-4E1A-9735-86EA195E2C8D%7D/uploads/DT_Mixed_Use_Master_Plan_reduced.pdf" TargetMode="External"/><Relationship Id="rId6" Type="http://schemas.openxmlformats.org/officeDocument/2006/relationships/hyperlink" Target="https://library.municode.com/ca/brisbane/codes/code_of_ordinances?nodeId=TIT17ZO_CH17.14NCNECODINCBRVINCDOBR_17.14.090PA" TargetMode="External"/><Relationship Id="rId11" Type="http://schemas.openxmlformats.org/officeDocument/2006/relationships/hyperlink" Target="https://library.municode.com/ca/san_rafael/codes/code_of_ordinances?nodeId=TIT14ZO_DIVIVREAPALSEDI_CH14.18PAST_14.18.060DOPADI" TargetMode="External"/><Relationship Id="rId24" Type="http://schemas.openxmlformats.org/officeDocument/2006/relationships/printerSettings" Target="../printerSettings/printerSettings3.bin"/><Relationship Id="rId5" Type="http://schemas.openxmlformats.org/officeDocument/2006/relationships/hyperlink" Target="https://www.codepublishing.com/CA/Berkeley/html/Berkeley23E/Berkeley23E84/Berkeley23E84080.html" TargetMode="External"/><Relationship Id="rId15" Type="http://schemas.openxmlformats.org/officeDocument/2006/relationships/hyperlink" Target="https://www.belmont.gov/home/showpublisheddocument?id=16361" TargetMode="External"/><Relationship Id="rId23" Type="http://schemas.openxmlformats.org/officeDocument/2006/relationships/hyperlink" Target="https://www.codepublishing.com/CA/Millbrae/" TargetMode="External"/><Relationship Id="rId10" Type="http://schemas.openxmlformats.org/officeDocument/2006/relationships/hyperlink" Target="https://www.codepublishing.com/CA/SanCarlos/" TargetMode="External"/><Relationship Id="rId19" Type="http://schemas.openxmlformats.org/officeDocument/2006/relationships/hyperlink" Target="https://library.municode.com/ca/hayward/codes/municipal_code?nodeId=HAYWARD_MUNICIPAL_CODE_CH10PLZOSU_ART2OREPARE_IVEXREEXAP_S10-2.410CEPADIST" TargetMode="External"/><Relationship Id="rId4" Type="http://schemas.openxmlformats.org/officeDocument/2006/relationships/hyperlink" Target="https://www.codepublishing.com/CA/Berkeley/html/Berkeley23E/Berkeley23E80/Berkeley23E80080.html" TargetMode="External"/><Relationship Id="rId9" Type="http://schemas.openxmlformats.org/officeDocument/2006/relationships/hyperlink" Target="https://qcode.us/codes/napa/view.php?topic=city_of_napa_municipal_code-17-17_44&amp;showAll=1&amp;frames=on" TargetMode="External"/><Relationship Id="rId14" Type="http://schemas.openxmlformats.org/officeDocument/2006/relationships/hyperlink" Target="https://qcode.us/codes/sunnyvale/view.php?topic=19-3-19_28-19_28_100&amp;frames=on" TargetMode="External"/><Relationship Id="rId22" Type="http://schemas.openxmlformats.org/officeDocument/2006/relationships/hyperlink" Target="https://qcode.us/codes/burlingame/view.php?topic=25-25_70-25_70_090&amp;frames=on"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codepublishing.com/CA/Fairfield/" TargetMode="External"/><Relationship Id="rId13" Type="http://schemas.openxmlformats.org/officeDocument/2006/relationships/hyperlink" Target="http://qcode.us/codes/southsanfrancisco/view.php?topic=20-20_330-20_330_007&amp;frames=on" TargetMode="External"/><Relationship Id="rId18" Type="http://schemas.openxmlformats.org/officeDocument/2006/relationships/hyperlink" Target="https://library.municode.com/ca/alameda/codes/code_of_ordinances?nodeId=CHXXXDERE_ARTIZODIRE_30-7OREPALOSPRE_30-7.6SCREMIMAOREPASP" TargetMode="External"/><Relationship Id="rId3" Type="http://schemas.openxmlformats.org/officeDocument/2006/relationships/hyperlink" Target="https://www.codepublishing.com/CA/Berkeley/html/Berkeley23E/Berkeley23E76/Berkeley23E76080.html" TargetMode="External"/><Relationship Id="rId21" Type="http://schemas.openxmlformats.org/officeDocument/2006/relationships/hyperlink" Target="https://sanmateo.ca.us.open.law/us/ca/cities/san-mateo/code/27.64.100" TargetMode="External"/><Relationship Id="rId7" Type="http://schemas.openxmlformats.org/officeDocument/2006/relationships/hyperlink" Target="https://www.codepublishing.com/CA/Concord/" TargetMode="External"/><Relationship Id="rId12" Type="http://schemas.openxmlformats.org/officeDocument/2006/relationships/hyperlink" Target="http://qcode.us/codes/southsanfrancisco/view.php?topic=20-20_250-20_250_004&amp;frames=on" TargetMode="External"/><Relationship Id="rId17" Type="http://schemas.openxmlformats.org/officeDocument/2006/relationships/hyperlink" Target="https://library.municode.com/ca/novato/codes/code_of_ordinances?nodeId=CHXIXZO_ART3SIPLGEDEST_DIV19.30PALO" TargetMode="External"/><Relationship Id="rId2" Type="http://schemas.openxmlformats.org/officeDocument/2006/relationships/hyperlink" Target="https://www.codepublishing.com/CA/Berkeley/html/Berkeley23E/Berkeley23E64/Berkeley23E64.html" TargetMode="External"/><Relationship Id="rId16" Type="http://schemas.openxmlformats.org/officeDocument/2006/relationships/hyperlink" Target="https://library.municode.com/ca/redwood_city/codes/zoning?nodeId=ART30OREPALO_30.2RENUPASPOWPAZO" TargetMode="External"/><Relationship Id="rId20" Type="http://schemas.openxmlformats.org/officeDocument/2006/relationships/hyperlink" Target="https://library.municode.com/ca/redwood_city/codes/zoning?nodeId=ART30OREPALO_30.4RENUPASPIXEZODI" TargetMode="External"/><Relationship Id="rId1" Type="http://schemas.openxmlformats.org/officeDocument/2006/relationships/hyperlink" Target="https://www.ci.benicia.ca.us/vertical/Sites/%7BF991A639-AAED-4E1A-9735-86EA195E2C8D%7D/uploads/DT_Mixed_Use_Master_Plan_reduced.pdf" TargetMode="External"/><Relationship Id="rId6" Type="http://schemas.openxmlformats.org/officeDocument/2006/relationships/hyperlink" Target="https://library.municode.com/ca/brisbane/codes/code_of_ordinances?nodeId=TIT17ZO_CH17.14NCNECODINCBRVINCDOBR_17.14.090PA" TargetMode="External"/><Relationship Id="rId11" Type="http://schemas.openxmlformats.org/officeDocument/2006/relationships/hyperlink" Target="https://library.municode.com/ca/san_rafael/codes/code_of_ordinances?nodeId=TIT14ZO_DIVIVREAPALSEDI_CH14.18PAST_14.18.060DOPADI" TargetMode="External"/><Relationship Id="rId24" Type="http://schemas.openxmlformats.org/officeDocument/2006/relationships/printerSettings" Target="../printerSettings/printerSettings4.bin"/><Relationship Id="rId5" Type="http://schemas.openxmlformats.org/officeDocument/2006/relationships/hyperlink" Target="https://www.codepublishing.com/CA/Berkeley/html/Berkeley23E/Berkeley23E84/Berkeley23E84080.html" TargetMode="External"/><Relationship Id="rId15" Type="http://schemas.openxmlformats.org/officeDocument/2006/relationships/hyperlink" Target="https://www.belmont.gov/home/showpublisheddocument?id=16361" TargetMode="External"/><Relationship Id="rId23" Type="http://schemas.openxmlformats.org/officeDocument/2006/relationships/hyperlink" Target="https://www.codepublishing.com/CA/Millbrae/" TargetMode="External"/><Relationship Id="rId10" Type="http://schemas.openxmlformats.org/officeDocument/2006/relationships/hyperlink" Target="https://www.codepublishing.com/CA/SanCarlos/" TargetMode="External"/><Relationship Id="rId19" Type="http://schemas.openxmlformats.org/officeDocument/2006/relationships/hyperlink" Target="https://library.municode.com/ca/hayward/codes/municipal_code?nodeId=HAYWARD_MUNICIPAL_CODE_CH10PLZOSU_ART2OREPARE_IVEXREEXAP_S10-2.410CEPADIST" TargetMode="External"/><Relationship Id="rId4" Type="http://schemas.openxmlformats.org/officeDocument/2006/relationships/hyperlink" Target="https://www.codepublishing.com/CA/Berkeley/html/Berkeley23E/Berkeley23E80/Berkeley23E80080.html" TargetMode="External"/><Relationship Id="rId9" Type="http://schemas.openxmlformats.org/officeDocument/2006/relationships/hyperlink" Target="https://qcode.us/codes/napa/view.php?topic=city_of_napa_municipal_code-17-17_44&amp;showAll=1&amp;frames=on" TargetMode="External"/><Relationship Id="rId14" Type="http://schemas.openxmlformats.org/officeDocument/2006/relationships/hyperlink" Target="https://qcode.us/codes/sunnyvale/view.php?topic=19-3-19_28-19_28_100&amp;frames=on" TargetMode="External"/><Relationship Id="rId22" Type="http://schemas.openxmlformats.org/officeDocument/2006/relationships/hyperlink" Target="https://qcode.us/codes/burlingame/view.php?topic=25-25_70-25_70_090&amp;frames=o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B911B-4A4C-4D8D-898F-10A2DE9D9D02}">
  <dimension ref="A1:N42"/>
  <sheetViews>
    <sheetView tabSelected="1" zoomScaleNormal="100" zoomScaleSheetLayoutView="100" workbookViewId="0">
      <pane xSplit="4" ySplit="2" topLeftCell="E3" activePane="bottomRight" state="frozen"/>
      <selection pane="topRight" activeCell="F1" sqref="F1"/>
      <selection pane="bottomLeft" activeCell="B3" sqref="B3"/>
      <selection pane="bottomRight" activeCell="Q13" sqref="Q13"/>
    </sheetView>
  </sheetViews>
  <sheetFormatPr defaultColWidth="8.85546875" defaultRowHeight="12.75" x14ac:dyDescent="0.2"/>
  <cols>
    <col min="1" max="1" width="13.5703125" style="23" customWidth="1"/>
    <col min="2" max="2" width="13" style="23" customWidth="1"/>
    <col min="3" max="3" width="10.28515625" style="11" customWidth="1"/>
    <col min="4" max="4" width="13" style="31" customWidth="1"/>
    <col min="5" max="9" width="13.7109375" style="17" customWidth="1"/>
    <col min="10" max="10" width="13.7109375" style="20" customWidth="1"/>
    <col min="11" max="14" width="13.7109375" style="17" customWidth="1"/>
    <col min="15" max="16384" width="8.85546875" style="9"/>
  </cols>
  <sheetData>
    <row r="1" spans="1:14" s="29" customFormat="1" x14ac:dyDescent="0.2">
      <c r="A1" s="168" t="s">
        <v>114</v>
      </c>
      <c r="B1" s="168"/>
      <c r="C1" s="168"/>
      <c r="D1" s="169"/>
      <c r="E1" s="170" t="s">
        <v>442</v>
      </c>
      <c r="F1" s="171"/>
      <c r="G1" s="171"/>
      <c r="H1" s="171"/>
      <c r="I1" s="171"/>
      <c r="J1" s="171"/>
      <c r="K1" s="172" t="s">
        <v>445</v>
      </c>
      <c r="L1" s="172"/>
      <c r="M1" s="172"/>
      <c r="N1" s="172"/>
    </row>
    <row r="2" spans="1:14" s="26" customFormat="1" ht="38.25" x14ac:dyDescent="0.2">
      <c r="A2" s="167" t="s">
        <v>0</v>
      </c>
      <c r="B2" s="167" t="s">
        <v>1</v>
      </c>
      <c r="C2" s="167" t="s">
        <v>2</v>
      </c>
      <c r="D2" s="30" t="s">
        <v>115</v>
      </c>
      <c r="E2" s="2" t="s">
        <v>116</v>
      </c>
      <c r="F2" s="2" t="s">
        <v>117</v>
      </c>
      <c r="G2" s="2" t="s">
        <v>118</v>
      </c>
      <c r="H2" s="2" t="s">
        <v>119</v>
      </c>
      <c r="I2" s="2" t="s">
        <v>120</v>
      </c>
      <c r="J2" s="2" t="s">
        <v>121</v>
      </c>
      <c r="K2" s="15" t="s">
        <v>122</v>
      </c>
      <c r="L2" s="32" t="s">
        <v>125</v>
      </c>
      <c r="M2" s="32" t="s">
        <v>124</v>
      </c>
      <c r="N2" s="32" t="s">
        <v>123</v>
      </c>
    </row>
    <row r="3" spans="1:14" s="25" customFormat="1" x14ac:dyDescent="0.2">
      <c r="A3" s="165" t="s">
        <v>4</v>
      </c>
      <c r="B3" s="165" t="s">
        <v>4</v>
      </c>
      <c r="C3" s="165" t="str">
        <f>VLOOKUP(B3,'Citywide Standards'!E:G,2,FALSE)</f>
        <v>Urban Area</v>
      </c>
      <c r="D3" s="166">
        <f>VLOOKUP(B3,'Citywide Standards'!E:G,3,FALSE)</f>
        <v>81312</v>
      </c>
      <c r="E3" s="99" t="str">
        <f>IF(VLOOKUP(B3,'Citywide Standards'!E:AZ,5,FALSE)&lt;1.0001,VLOOKUP(B3,'Citywide Standards'!E:AZ,5,FALSE),"-")</f>
        <v>-</v>
      </c>
      <c r="F3" s="99" t="str">
        <f>IF(VLOOKUP(B3,'Citywide Standards'!E:AZ,13,FALSE)&lt;3.0001,VLOOKUP(B3,'Citywide Standards'!E:AZ,13,FALSE),"-")</f>
        <v>-</v>
      </c>
      <c r="G3" s="99" t="str">
        <f>IF(VLOOKUP(B3,'Citywide Standards'!E:AZ,17,FALSE)&lt;2.0001,VLOOKUP(B3,'Citywide Standards'!E:AZ,17,FALSE),"-")</f>
        <v>-</v>
      </c>
      <c r="H3" s="99">
        <f>VLOOKUP(B3,'Citywide Standards'!E:AZ,7,FALSE)</f>
        <v>2</v>
      </c>
      <c r="I3" s="99" t="str">
        <f>VLOOKUP(B3,'Citywide Standards'!E:AZ,14,FALSE)</f>
        <v xml:space="preserve"> -</v>
      </c>
      <c r="J3" s="99" t="str">
        <f>VLOOKUP(B3,'Citywide Standards'!E:AZ,18,FALSE)</f>
        <v xml:space="preserve"> -</v>
      </c>
      <c r="K3" s="88" t="str">
        <f>VLOOKUP(B3,'Citywide Standards'!E:AZ,22,FALSE)</f>
        <v>Yes</v>
      </c>
      <c r="L3" s="88" t="str">
        <f>VLOOKUP(B3,'Citywide Standards'!E:AZ,26,FALSE)</f>
        <v>Yes</v>
      </c>
      <c r="M3" s="88" t="str">
        <f>VLOOKUP(B3,'Citywide Standards'!E:AZ,27,FALSE)</f>
        <v>Yes</v>
      </c>
      <c r="N3" s="88" t="str">
        <f>VLOOKUP(B3,'Citywide Standards'!E:AZ,32,FALSE)</f>
        <v>Yes</v>
      </c>
    </row>
    <row r="4" spans="1:14" s="25" customFormat="1" x14ac:dyDescent="0.2">
      <c r="A4" s="165" t="s">
        <v>24</v>
      </c>
      <c r="B4" s="165" t="s">
        <v>72</v>
      </c>
      <c r="C4" s="165" t="str">
        <f>VLOOKUP(B4,'Citywide Standards'!E:G,2,FALSE)</f>
        <v>Core Suburb</v>
      </c>
      <c r="D4" s="166">
        <f>VLOOKUP(B4,'Citywide Standards'!E:G,3,FALSE)</f>
        <v>26813</v>
      </c>
      <c r="E4" s="99" t="str">
        <f>IF(VLOOKUP(B4,'Citywide Standards'!E:AZ,5,FALSE)&lt;1.0001,VLOOKUP(B4,'Citywide Standards'!E:AZ,5,FALSE),"-")</f>
        <v>-</v>
      </c>
      <c r="F4" s="99" t="str">
        <f>IF(VLOOKUP(B4,'Citywide Standards'!E:AZ,13,FALSE)&lt;3.0001,VLOOKUP(B4,'Citywide Standards'!E:AZ,13,FALSE),"-")</f>
        <v>-</v>
      </c>
      <c r="G4" s="99" t="str">
        <f>IF(VLOOKUP(B4,'Citywide Standards'!E:AZ,17,FALSE)&lt;2.0001,VLOOKUP(B4,'Citywide Standards'!E:AZ,17,FALSE),"-")</f>
        <v>-</v>
      </c>
      <c r="H4" s="99" t="str">
        <f>VLOOKUP(B4,'Citywide Standards'!E:AZ,7,FALSE)</f>
        <v>-</v>
      </c>
      <c r="I4" s="99" t="str">
        <f>VLOOKUP(B4,'Citywide Standards'!E:AZ,14,FALSE)</f>
        <v>-</v>
      </c>
      <c r="J4" s="99" t="str">
        <f>VLOOKUP(B4,'Citywide Standards'!E:AZ,18,FALSE)</f>
        <v>-</v>
      </c>
      <c r="K4" s="88" t="str">
        <f>VLOOKUP(B4,'Citywide Standards'!E:AZ,22,FALSE)</f>
        <v>Yes</v>
      </c>
      <c r="L4" s="88" t="str">
        <f>VLOOKUP(B4,'Citywide Standards'!E:AZ,26,FALSE)</f>
        <v>Yes</v>
      </c>
      <c r="M4" s="88" t="str">
        <f>VLOOKUP(B4,'Citywide Standards'!E:AZ,27,FALSE)</f>
        <v>No</v>
      </c>
      <c r="N4" s="88" t="str">
        <f>VLOOKUP(B4,'Citywide Standards'!E:AZ,32,FALSE)</f>
        <v>Yes</v>
      </c>
    </row>
    <row r="5" spans="1:14" s="25" customFormat="1" x14ac:dyDescent="0.2">
      <c r="A5" s="165" t="s">
        <v>45</v>
      </c>
      <c r="B5" s="165" t="s">
        <v>86</v>
      </c>
      <c r="C5" s="165" t="str">
        <f>VLOOKUP(B5,'Citywide Standards'!E:G,2,FALSE)</f>
        <v>Outer Suburb</v>
      </c>
      <c r="D5" s="166">
        <f>VLOOKUP(B5,'Citywide Standards'!E:G,3,FALSE)</f>
        <v>27175</v>
      </c>
      <c r="E5" s="99" t="str">
        <f>IF(VLOOKUP(B5,'Citywide Standards'!E:AZ,5,FALSE)&lt;1.0001,VLOOKUP(B5,'Citywide Standards'!E:AZ,5,FALSE),"-")</f>
        <v>-</v>
      </c>
      <c r="F5" s="99" t="str">
        <f>IF(VLOOKUP(B5,'Citywide Standards'!E:AZ,13,FALSE)&lt;3.0001,VLOOKUP(B5,'Citywide Standards'!E:AZ,13,FALSE),"-")</f>
        <v>-</v>
      </c>
      <c r="G5" s="99" t="str">
        <f>IF(VLOOKUP(B5,'Citywide Standards'!E:AZ,17,FALSE)&lt;2.0001,VLOOKUP(B5,'Citywide Standards'!E:AZ,17,FALSE),"-")</f>
        <v>-</v>
      </c>
      <c r="H5" s="99" t="str">
        <f>VLOOKUP(B5,'Citywide Standards'!E:AZ,7,FALSE)</f>
        <v xml:space="preserve"> -</v>
      </c>
      <c r="I5" s="99" t="str">
        <f>VLOOKUP(B5,'Citywide Standards'!E:AZ,14,FALSE)</f>
        <v xml:space="preserve"> -</v>
      </c>
      <c r="J5" s="99" t="str">
        <f>VLOOKUP(B5,'Citywide Standards'!E:AZ,18,FALSE)</f>
        <v xml:space="preserve"> -</v>
      </c>
      <c r="K5" s="88" t="str">
        <f>VLOOKUP(B5,'Citywide Standards'!E:AZ,22,FALSE)</f>
        <v>Yes</v>
      </c>
      <c r="L5" s="88" t="str">
        <f>VLOOKUP(B5,'Citywide Standards'!E:AZ,26,FALSE)</f>
        <v>No</v>
      </c>
      <c r="M5" s="88" t="str">
        <f>VLOOKUP(B5,'Citywide Standards'!E:AZ,27,FALSE)</f>
        <v>No</v>
      </c>
      <c r="N5" s="88" t="str">
        <f>VLOOKUP(B5,'Citywide Standards'!E:AZ,32,FALSE)</f>
        <v>Yes</v>
      </c>
    </row>
    <row r="6" spans="1:14" s="25" customFormat="1" x14ac:dyDescent="0.2">
      <c r="A6" s="165" t="s">
        <v>4</v>
      </c>
      <c r="B6" s="165" t="s">
        <v>108</v>
      </c>
      <c r="C6" s="165" t="s">
        <v>97</v>
      </c>
      <c r="D6" s="166">
        <f>VLOOKUP(B6,'Citywide Standards'!E:G,3,FALSE)</f>
        <v>122580</v>
      </c>
      <c r="E6" s="99">
        <f>IF(VLOOKUP(B6,'Citywide Standards'!E:AZ,5,FALSE)&lt;1.0001,VLOOKUP(B6,'Citywide Standards'!E:AZ,5,FALSE),"-")</f>
        <v>1</v>
      </c>
      <c r="F6" s="99" t="str">
        <f>IF(VLOOKUP(B6,'Citywide Standards'!E:AZ,13,FALSE)&lt;3.0001,VLOOKUP(B6,'Citywide Standards'!E:AZ,13,FALSE),"-")</f>
        <v>-</v>
      </c>
      <c r="G6" s="99" t="str">
        <f>IF(VLOOKUP(B6,'Citywide Standards'!E:AZ,17,FALSE)&lt;2.0001,VLOOKUP(B6,'Citywide Standards'!E:AZ,17,FALSE),"-")</f>
        <v>-</v>
      </c>
      <c r="H6" s="99" t="str">
        <f>VLOOKUP(B6,'Citywide Standards'!E:AZ,7,FALSE)</f>
        <v>-</v>
      </c>
      <c r="I6" s="99">
        <f>VLOOKUP(B6,'Citywide Standards'!E:AZ,14,FALSE)</f>
        <v>4</v>
      </c>
      <c r="J6" s="99" t="str">
        <f>VLOOKUP(B6,'Citywide Standards'!E:AZ,18,FALSE)</f>
        <v>-</v>
      </c>
      <c r="K6" s="88" t="str">
        <f>VLOOKUP(B6,'Citywide Standards'!E:AZ,22,FALSE)</f>
        <v>Yes</v>
      </c>
      <c r="L6" s="88" t="str">
        <f>VLOOKUP(B6,'Citywide Standards'!E:AZ,26,FALSE)</f>
        <v>Yes</v>
      </c>
      <c r="M6" s="88" t="str">
        <f>VLOOKUP(B6,'Citywide Standards'!E:AZ,27,FALSE)</f>
        <v>No</v>
      </c>
      <c r="N6" s="88" t="str">
        <f>VLOOKUP(B6,'Citywide Standards'!E:AZ,32,FALSE)</f>
        <v>No</v>
      </c>
    </row>
    <row r="7" spans="1:14" s="25" customFormat="1" x14ac:dyDescent="0.2">
      <c r="A7" s="165" t="s">
        <v>24</v>
      </c>
      <c r="B7" s="165" t="s">
        <v>60</v>
      </c>
      <c r="C7" s="165" t="str">
        <f>VLOOKUP(B7,'Citywide Standards'!E:G,2,FALSE)</f>
        <v>Core Suburb</v>
      </c>
      <c r="D7" s="166">
        <f>VLOOKUP(B7,'Citywide Standards'!E:G,3,FALSE)</f>
        <v>4633</v>
      </c>
      <c r="E7" s="99" t="str">
        <f>IF(VLOOKUP(B7,'Citywide Standards'!E:AZ,5,FALSE)&lt;1.0001,VLOOKUP(B7,'Citywide Standards'!E:AZ,5,FALSE),"-")</f>
        <v>-</v>
      </c>
      <c r="F7" s="99" t="str">
        <f>IF(VLOOKUP(B7,'Citywide Standards'!E:AZ,13,FALSE)&lt;3.0001,VLOOKUP(B7,'Citywide Standards'!E:AZ,13,FALSE),"-")</f>
        <v>-</v>
      </c>
      <c r="G7" s="99" t="str">
        <f>IF(VLOOKUP(B7,'Citywide Standards'!E:AZ,17,FALSE)&lt;2.0001,VLOOKUP(B7,'Citywide Standards'!E:AZ,17,FALSE),"-")</f>
        <v>-</v>
      </c>
      <c r="H7" s="99" t="str">
        <f>VLOOKUP(B7,'Citywide Standards'!E:AZ,7,FALSE)</f>
        <v xml:space="preserve"> -</v>
      </c>
      <c r="I7" s="99" t="str">
        <f>VLOOKUP(B7,'Citywide Standards'!E:AZ,14,FALSE)</f>
        <v xml:space="preserve"> -</v>
      </c>
      <c r="J7" s="99" t="str">
        <f>VLOOKUP(B7,'Citywide Standards'!E:AZ,18,FALSE)</f>
        <v xml:space="preserve"> -</v>
      </c>
      <c r="K7" s="88" t="str">
        <f>VLOOKUP(B7,'Citywide Standards'!E:AZ,22,FALSE)</f>
        <v>No</v>
      </c>
      <c r="L7" s="88" t="str">
        <f>VLOOKUP(B7,'Citywide Standards'!E:AZ,26,FALSE)</f>
        <v>No</v>
      </c>
      <c r="M7" s="88" t="str">
        <f>VLOOKUP(B7,'Citywide Standards'!E:AZ,27,FALSE)</f>
        <v>Yes</v>
      </c>
      <c r="N7" s="88" t="str">
        <f>VLOOKUP(B7,'Citywide Standards'!E:AZ,32,FALSE)</f>
        <v>No</v>
      </c>
    </row>
    <row r="8" spans="1:14" s="6" customFormat="1" x14ac:dyDescent="0.2">
      <c r="A8" s="165" t="s">
        <v>24</v>
      </c>
      <c r="B8" s="165" t="s">
        <v>73</v>
      </c>
      <c r="C8" s="165" t="str">
        <f>VLOOKUP(B8,'Citywide Standards'!E:G,2,FALSE)</f>
        <v>Core Suburb</v>
      </c>
      <c r="D8" s="166">
        <f>VLOOKUP(B8,'Citywide Standards'!E:G,3,FALSE)</f>
        <v>30118</v>
      </c>
      <c r="E8" s="99" t="str">
        <f>IF(VLOOKUP(B8,'Citywide Standards'!E:AZ,5,FALSE)&lt;1.0001,VLOOKUP(B8,'Citywide Standards'!E:AZ,5,FALSE),"-")</f>
        <v>-</v>
      </c>
      <c r="F8" s="99">
        <f>IF(VLOOKUP(B8,'Citywide Standards'!E:AZ,13,FALSE)&lt;3.0001,VLOOKUP(B8,'Citywide Standards'!E:AZ,13,FALSE),"-")</f>
        <v>2.5</v>
      </c>
      <c r="G8" s="99" t="str">
        <f>IF(VLOOKUP(B8,'Citywide Standards'!E:AZ,17,FALSE)&lt;2.0001,VLOOKUP(B8,'Citywide Standards'!E:AZ,17,FALSE),"-")</f>
        <v>-</v>
      </c>
      <c r="H8" s="99" t="str">
        <f>VLOOKUP(B8,'Citywide Standards'!E:AZ,7,FALSE)</f>
        <v>-</v>
      </c>
      <c r="I8" s="99" t="str">
        <f>VLOOKUP(B8,'Citywide Standards'!E:AZ,14,FALSE)</f>
        <v>-</v>
      </c>
      <c r="J8" s="99" t="str">
        <f>VLOOKUP(B8,'Citywide Standards'!E:AZ,18,FALSE)</f>
        <v>-</v>
      </c>
      <c r="K8" s="88" t="str">
        <f>VLOOKUP(B8,'Citywide Standards'!E:AZ,22,FALSE)</f>
        <v>No</v>
      </c>
      <c r="L8" s="88" t="str">
        <f>VLOOKUP(B8,'Citywide Standards'!E:AZ,26,FALSE)</f>
        <v>Yes</v>
      </c>
      <c r="M8" s="88" t="str">
        <f>VLOOKUP(B8,'Citywide Standards'!E:AZ,27,FALSE)</f>
        <v>No</v>
      </c>
      <c r="N8" s="88" t="str">
        <f>VLOOKUP(B8,'Citywide Standards'!E:AZ,32,FALSE)</f>
        <v>No</v>
      </c>
    </row>
    <row r="9" spans="1:14" s="5" customFormat="1" x14ac:dyDescent="0.2">
      <c r="A9" s="165" t="s">
        <v>9</v>
      </c>
      <c r="B9" s="165" t="s">
        <v>98</v>
      </c>
      <c r="C9" s="165" t="str">
        <f>VLOOKUP(B9,'Citywide Standards'!E:G,2,FALSE)</f>
        <v>Urban Area</v>
      </c>
      <c r="D9" s="166">
        <f>VLOOKUP(B9,'Citywide Standards'!E:G,3,FALSE)</f>
        <v>130143</v>
      </c>
      <c r="E9" s="99" t="str">
        <f>IF(VLOOKUP(B9,'Citywide Standards'!E:AZ,5,FALSE)&lt;1.0001,VLOOKUP(B9,'Citywide Standards'!E:AZ,5,FALSE),"-")</f>
        <v>-</v>
      </c>
      <c r="F9" s="99" t="str">
        <f>IF(VLOOKUP(B9,'Citywide Standards'!E:AZ,13,FALSE)&lt;3.0001,VLOOKUP(B9,'Citywide Standards'!E:AZ,13,FALSE),"-")</f>
        <v>-</v>
      </c>
      <c r="G9" s="99" t="str">
        <f>IF(VLOOKUP(B9,'Citywide Standards'!E:AZ,17,FALSE)&lt;2.0001,VLOOKUP(B9,'Citywide Standards'!E:AZ,17,FALSE),"-")</f>
        <v>-</v>
      </c>
      <c r="H9" s="99" t="str">
        <f>VLOOKUP(B9,'Citywide Standards'!E:AZ,7,FALSE)</f>
        <v xml:space="preserve"> - </v>
      </c>
      <c r="I9" s="99" t="str">
        <f>VLOOKUP(B9,'Citywide Standards'!E:AZ,14,FALSE)</f>
        <v xml:space="preserve"> - </v>
      </c>
      <c r="J9" s="99" t="str">
        <f>VLOOKUP(B9,'Citywide Standards'!E:AZ,18,FALSE)</f>
        <v xml:space="preserve"> - </v>
      </c>
      <c r="K9" s="88" t="str">
        <f>VLOOKUP(B9,'Citywide Standards'!E:AZ,22,FALSE)</f>
        <v>Yes</v>
      </c>
      <c r="L9" s="88" t="str">
        <f>VLOOKUP(B9,'Citywide Standards'!E:AZ,26,FALSE)</f>
        <v>Yes</v>
      </c>
      <c r="M9" s="88" t="str">
        <f>VLOOKUP(B9,'Citywide Standards'!E:AZ,27,FALSE)</f>
        <v>Yes</v>
      </c>
      <c r="N9" s="88" t="str">
        <f>VLOOKUP(B9,'Citywide Standards'!E:AZ,32,FALSE)</f>
        <v>No</v>
      </c>
    </row>
    <row r="10" spans="1:14" s="25" customFormat="1" x14ac:dyDescent="0.2">
      <c r="A10" s="165" t="s">
        <v>24</v>
      </c>
      <c r="B10" s="165" t="s">
        <v>104</v>
      </c>
      <c r="C10" s="165" t="str">
        <f>VLOOKUP(B10,'Citywide Standards'!E:G,2,FALSE)</f>
        <v>Urban Area</v>
      </c>
      <c r="D10" s="166">
        <f>VLOOKUP(B10,'Citywide Standards'!E:G,3,FALSE)</f>
        <v>109142</v>
      </c>
      <c r="E10" s="99" t="str">
        <f>IF(VLOOKUP(B10,'Citywide Standards'!E:AZ,5,FALSE)&lt;1.0001,VLOOKUP(B10,'Citywide Standards'!E:AZ,5,FALSE),"-")</f>
        <v>-</v>
      </c>
      <c r="F10" s="99" t="str">
        <f>IF(VLOOKUP(B10,'Citywide Standards'!E:AZ,13,FALSE)&lt;3.0001,VLOOKUP(B10,'Citywide Standards'!E:AZ,13,FALSE),"-")</f>
        <v>-</v>
      </c>
      <c r="G10" s="99" t="str">
        <f>IF(VLOOKUP(B10,'Citywide Standards'!E:AZ,17,FALSE)&lt;2.0001,VLOOKUP(B10,'Citywide Standards'!E:AZ,17,FALSE),"-")</f>
        <v>-</v>
      </c>
      <c r="H10" s="99" t="str">
        <f>VLOOKUP(B10,'Citywide Standards'!E:AZ,7,FALSE)</f>
        <v xml:space="preserve"> -</v>
      </c>
      <c r="I10" s="99" t="str">
        <f>VLOOKUP(B10,'Citywide Standards'!E:AZ,14,FALSE)</f>
        <v xml:space="preserve"> -</v>
      </c>
      <c r="J10" s="99" t="str">
        <f>VLOOKUP(B10,'Citywide Standards'!E:AZ,18,FALSE)</f>
        <v xml:space="preserve"> -</v>
      </c>
      <c r="K10" s="88" t="str">
        <f>VLOOKUP(B10,'Citywide Standards'!E:AZ,22,FALSE)</f>
        <v>No</v>
      </c>
      <c r="L10" s="88" t="str">
        <f>VLOOKUP(B10,'Citywide Standards'!E:AZ,26,FALSE)</f>
        <v>No</v>
      </c>
      <c r="M10" s="88" t="str">
        <f>VLOOKUP(B10,'Citywide Standards'!E:AZ,27,FALSE)</f>
        <v>Yes</v>
      </c>
      <c r="N10" s="88" t="str">
        <f>VLOOKUP(B10,'Citywide Standards'!E:AZ,32,FALSE)</f>
        <v>No</v>
      </c>
    </row>
    <row r="11" spans="1:14" s="25" customFormat="1" x14ac:dyDescent="0.2">
      <c r="A11" s="165" t="s">
        <v>24</v>
      </c>
      <c r="B11" s="165" t="s">
        <v>105</v>
      </c>
      <c r="C11" s="165" t="str">
        <f>VLOOKUP(B11,'Citywide Standards'!E:G,2,FALSE)</f>
        <v>Urban Area</v>
      </c>
      <c r="D11" s="166">
        <f>VLOOKUP(B11,'Citywide Standards'!E:G,3,FALSE)</f>
        <v>30794</v>
      </c>
      <c r="E11" s="99" t="str">
        <f>IF(VLOOKUP(B11,'Citywide Standards'!E:AZ,5,FALSE)&lt;1.0001,VLOOKUP(B11,'Citywide Standards'!E:AZ,5,FALSE),"-")</f>
        <v>-</v>
      </c>
      <c r="F11" s="99" t="str">
        <f>IF(VLOOKUP(B11,'Citywide Standards'!E:AZ,13,FALSE)&lt;3.0001,VLOOKUP(B11,'Citywide Standards'!E:AZ,13,FALSE),"-")</f>
        <v>-</v>
      </c>
      <c r="G11" s="99" t="str">
        <f>IF(VLOOKUP(B11,'Citywide Standards'!E:AZ,17,FALSE)&lt;2.0001,VLOOKUP(B11,'Citywide Standards'!E:AZ,17,FALSE),"-")</f>
        <v>-</v>
      </c>
      <c r="H11" s="99" t="str">
        <f>VLOOKUP(B11,'Citywide Standards'!E:AZ,7,FALSE)</f>
        <v xml:space="preserve"> -</v>
      </c>
      <c r="I11" s="99" t="str">
        <f>VLOOKUP(B11,'Citywide Standards'!E:AZ,14,FALSE)</f>
        <v xml:space="preserve"> -</v>
      </c>
      <c r="J11" s="99" t="str">
        <f>VLOOKUP(B11,'Citywide Standards'!E:AZ,18,FALSE)</f>
        <v xml:space="preserve"> -</v>
      </c>
      <c r="K11" s="88" t="str">
        <f>VLOOKUP(B11,'Citywide Standards'!E:AZ,22,FALSE)</f>
        <v>Yes</v>
      </c>
      <c r="L11" s="88" t="str">
        <f>VLOOKUP(B11,'Citywide Standards'!E:AZ,26,FALSE)</f>
        <v>No</v>
      </c>
      <c r="M11" s="88" t="str">
        <f>VLOOKUP(B11,'Citywide Standards'!E:AZ,27,FALSE)</f>
        <v>Yes</v>
      </c>
      <c r="N11" s="88" t="str">
        <f>VLOOKUP(B11,'Citywide Standards'!E:AZ,32,FALSE)</f>
        <v>No</v>
      </c>
    </row>
    <row r="12" spans="1:14" s="25" customFormat="1" x14ac:dyDescent="0.2">
      <c r="A12" s="165" t="s">
        <v>9</v>
      </c>
      <c r="B12" s="165" t="s">
        <v>99</v>
      </c>
      <c r="C12" s="165" t="str">
        <f>VLOOKUP(B12,'Citywide Standards'!E:G,2,FALSE)</f>
        <v>Urban Area</v>
      </c>
      <c r="D12" s="166">
        <f>VLOOKUP(B12,'Citywide Standards'!E:G,3,FALSE)</f>
        <v>24953</v>
      </c>
      <c r="E12" s="99" t="str">
        <f>IF(VLOOKUP(B12,'Citywide Standards'!E:AZ,5,FALSE)&lt;1.0001,VLOOKUP(B12,'Citywide Standards'!E:AZ,5,FALSE),"-")</f>
        <v>-</v>
      </c>
      <c r="F12" s="99" t="str">
        <f>IF(VLOOKUP(B12,'Citywide Standards'!E:AZ,13,FALSE)&lt;3.0001,VLOOKUP(B12,'Citywide Standards'!E:AZ,13,FALSE),"-")</f>
        <v>-</v>
      </c>
      <c r="G12" s="99" t="str">
        <f>IF(VLOOKUP(B12,'Citywide Standards'!E:AZ,17,FALSE)&lt;2.0001,VLOOKUP(B12,'Citywide Standards'!E:AZ,17,FALSE),"-")</f>
        <v>-</v>
      </c>
      <c r="H12" s="99" t="str">
        <f>VLOOKUP(B12,'Citywide Standards'!E:AZ,7,FALSE)</f>
        <v xml:space="preserve"> - </v>
      </c>
      <c r="I12" s="99" t="str">
        <f>VLOOKUP(B12,'Citywide Standards'!E:AZ,14,FALSE)</f>
        <v xml:space="preserve"> - </v>
      </c>
      <c r="J12" s="99" t="str">
        <f>VLOOKUP(B12,'Citywide Standards'!E:AZ,18,FALSE)</f>
        <v xml:space="preserve"> -</v>
      </c>
      <c r="K12" s="88" t="str">
        <f>VLOOKUP(B12,'Citywide Standards'!E:AZ,22,FALSE)</f>
        <v>Yes</v>
      </c>
      <c r="L12" s="88" t="str">
        <f>VLOOKUP(B12,'Citywide Standards'!E:AZ,26,FALSE)</f>
        <v>Yes</v>
      </c>
      <c r="M12" s="88" t="str">
        <f>VLOOKUP(B12,'Citywide Standards'!E:AZ,27,FALSE)</f>
        <v>No</v>
      </c>
      <c r="N12" s="88" t="str">
        <f>VLOOKUP(B12,'Citywide Standards'!E:AZ,32,FALSE)</f>
        <v>No</v>
      </c>
    </row>
    <row r="13" spans="1:14" s="25" customFormat="1" x14ac:dyDescent="0.2">
      <c r="A13" s="165" t="s">
        <v>4</v>
      </c>
      <c r="B13" s="165" t="s">
        <v>71</v>
      </c>
      <c r="C13" s="165" t="str">
        <f>VLOOKUP(B13,'Citywide Standards'!E:G,2,FALSE)</f>
        <v>Core Suburb</v>
      </c>
      <c r="D13" s="166">
        <f>VLOOKUP(B13,'Citywide Standards'!E:G,3,FALSE)</f>
        <v>12298</v>
      </c>
      <c r="E13" s="99">
        <f>IF(VLOOKUP(B13,'Citywide Standards'!E:AZ,5,FALSE)&lt;1.0001,VLOOKUP(B13,'Citywide Standards'!E:AZ,5,FALSE),"-")</f>
        <v>1</v>
      </c>
      <c r="F13" s="99">
        <f>IF(VLOOKUP(B13,'Citywide Standards'!E:AZ,13,FALSE)&lt;3.0001,VLOOKUP(B13,'Citywide Standards'!E:AZ,13,FALSE),"-")</f>
        <v>3</v>
      </c>
      <c r="G13" s="99" t="str">
        <f>IF(VLOOKUP(B13,'Citywide Standards'!E:AZ,17,FALSE)&lt;2.0001,VLOOKUP(B13,'Citywide Standards'!E:AZ,17,FALSE),"-")</f>
        <v>-</v>
      </c>
      <c r="H13" s="99" t="str">
        <f>VLOOKUP(B13,'Citywide Standards'!E:AZ,7,FALSE)</f>
        <v>-</v>
      </c>
      <c r="I13" s="99" t="str">
        <f>VLOOKUP(B13,'Citywide Standards'!E:AZ,14,FALSE)</f>
        <v>-</v>
      </c>
      <c r="J13" s="99" t="str">
        <f>VLOOKUP(B13,'Citywide Standards'!E:AZ,18,FALSE)</f>
        <v>-</v>
      </c>
      <c r="K13" s="88" t="str">
        <f>VLOOKUP(B13,'Citywide Standards'!E:AZ,22,FALSE)</f>
        <v>Yes</v>
      </c>
      <c r="L13" s="88" t="str">
        <f>VLOOKUP(B13,'Citywide Standards'!E:AZ,26,FALSE)</f>
        <v>Yes</v>
      </c>
      <c r="M13" s="88" t="str">
        <f>VLOOKUP(B13,'Citywide Standards'!E:AZ,27,FALSE)</f>
        <v>Yes</v>
      </c>
      <c r="N13" s="88" t="str">
        <f>VLOOKUP(B13,'Citywide Standards'!E:AZ,32,FALSE)</f>
        <v>Yes</v>
      </c>
    </row>
    <row r="14" spans="1:14" s="25" customFormat="1" x14ac:dyDescent="0.2">
      <c r="A14" s="165" t="s">
        <v>45</v>
      </c>
      <c r="B14" s="165" t="s">
        <v>87</v>
      </c>
      <c r="C14" s="165" t="str">
        <f>VLOOKUP(B14,'Citywide Standards'!E:G,2,FALSE)</f>
        <v>Outer Suburb</v>
      </c>
      <c r="D14" s="166">
        <f>VLOOKUP(B14,'Citywide Standards'!E:G,3,FALSE)</f>
        <v>116981</v>
      </c>
      <c r="E14" s="99" t="str">
        <f>IF(VLOOKUP(B14,'Citywide Standards'!E:AZ,5,FALSE)&lt;1.0001,VLOOKUP(B14,'Citywide Standards'!E:AZ,5,FALSE),"-")</f>
        <v>-</v>
      </c>
      <c r="F14" s="99" t="str">
        <f>IF(VLOOKUP(B14,'Citywide Standards'!E:AZ,13,FALSE)&lt;3.0001,VLOOKUP(B14,'Citywide Standards'!E:AZ,13,FALSE),"-")</f>
        <v>-</v>
      </c>
      <c r="G14" s="99" t="str">
        <f>IF(VLOOKUP(B14,'Citywide Standards'!E:AZ,17,FALSE)&lt;2.0001,VLOOKUP(B14,'Citywide Standards'!E:AZ,17,FALSE),"-")</f>
        <v>-</v>
      </c>
      <c r="H14" s="99" t="str">
        <f>VLOOKUP(B14,'Citywide Standards'!E:AZ,7,FALSE)</f>
        <v xml:space="preserve"> -</v>
      </c>
      <c r="I14" s="99" t="str">
        <f>VLOOKUP(B14,'Citywide Standards'!E:AZ,14,FALSE)</f>
        <v xml:space="preserve"> -</v>
      </c>
      <c r="J14" s="99" t="str">
        <f>VLOOKUP(B14,'Citywide Standards'!E:AZ,18,FALSE)</f>
        <v xml:space="preserve"> -</v>
      </c>
      <c r="K14" s="88" t="str">
        <f>VLOOKUP(B14,'Citywide Standards'!E:AZ,22,FALSE)</f>
        <v>Yes</v>
      </c>
      <c r="L14" s="88" t="str">
        <f>VLOOKUP(B14,'Citywide Standards'!E:AZ,26,FALSE)</f>
        <v>Yes</v>
      </c>
      <c r="M14" s="88" t="str">
        <f>VLOOKUP(B14,'Citywide Standards'!E:AZ,27,FALSE)</f>
        <v>No</v>
      </c>
      <c r="N14" s="88" t="str">
        <f>VLOOKUP(B14,'Citywide Standards'!E:AZ,32,FALSE)</f>
        <v>No</v>
      </c>
    </row>
    <row r="15" spans="1:14" s="25" customFormat="1" x14ac:dyDescent="0.2">
      <c r="A15" s="165" t="s">
        <v>4</v>
      </c>
      <c r="B15" s="165" t="s">
        <v>55</v>
      </c>
      <c r="C15" s="165" t="str">
        <f>VLOOKUP(B15,'Citywide Standards'!E:G,2,FALSE)</f>
        <v>Core Suburb</v>
      </c>
      <c r="D15" s="166">
        <f>VLOOKUP(B15,'Citywide Standards'!E:G,3,FALSE)</f>
        <v>234220</v>
      </c>
      <c r="E15" s="99" t="str">
        <f>IF(VLOOKUP(B15,'Citywide Standards'!E:AZ,5,FALSE)&lt;1.0001,VLOOKUP(B15,'Citywide Standards'!E:AZ,5,FALSE),"-")</f>
        <v>-</v>
      </c>
      <c r="F15" s="99" t="str">
        <f>IF(VLOOKUP(B15,'Citywide Standards'!E:AZ,13,FALSE)&lt;3.0001,VLOOKUP(B15,'Citywide Standards'!E:AZ,13,FALSE),"-")</f>
        <v>-</v>
      </c>
      <c r="G15" s="99" t="str">
        <f>IF(VLOOKUP(B15,'Citywide Standards'!E:AZ,17,FALSE)&lt;2.0001,VLOOKUP(B15,'Citywide Standards'!E:AZ,17,FALSE),"-")</f>
        <v>-</v>
      </c>
      <c r="H15" s="99" t="str">
        <f>VLOOKUP(B15,'Citywide Standards'!E:AZ,7,FALSE)</f>
        <v xml:space="preserve"> - </v>
      </c>
      <c r="I15" s="99" t="str">
        <f>VLOOKUP(B15,'Citywide Standards'!E:AZ,14,FALSE)</f>
        <v xml:space="preserve"> - </v>
      </c>
      <c r="J15" s="99" t="str">
        <f>VLOOKUP(B15,'Citywide Standards'!E:AZ,18,FALSE)</f>
        <v xml:space="preserve"> - </v>
      </c>
      <c r="K15" s="88" t="str">
        <f>VLOOKUP(B15,'Citywide Standards'!E:AZ,22,FALSE)</f>
        <v>Yes</v>
      </c>
      <c r="L15" s="88" t="str">
        <f>VLOOKUP(B15,'Citywide Standards'!E:AZ,26,FALSE)</f>
        <v>Yes</v>
      </c>
      <c r="M15" s="88" t="str">
        <f>VLOOKUP(B15,'Citywide Standards'!E:AZ,27,FALSE)</f>
        <v>Yes</v>
      </c>
      <c r="N15" s="88" t="str">
        <f>VLOOKUP(B15,'Citywide Standards'!E:AZ,32,FALSE)</f>
        <v>Yes</v>
      </c>
    </row>
    <row r="16" spans="1:14" s="25" customFormat="1" x14ac:dyDescent="0.2">
      <c r="A16" s="165" t="s">
        <v>4</v>
      </c>
      <c r="B16" s="165" t="s">
        <v>57</v>
      </c>
      <c r="C16" s="165" t="str">
        <f>VLOOKUP(B16,'Citywide Standards'!E:G,2,FALSE)</f>
        <v>Core Suburb</v>
      </c>
      <c r="D16" s="166">
        <f>VLOOKUP(B16,'Citywide Standards'!E:G,3,FALSE)</f>
        <v>160311</v>
      </c>
      <c r="E16" s="99" t="str">
        <f>IF(VLOOKUP(B16,'Citywide Standards'!E:AZ,5,FALSE)&lt;1.0001,VLOOKUP(B16,'Citywide Standards'!E:AZ,5,FALSE),"-")</f>
        <v>-</v>
      </c>
      <c r="F16" s="99" t="str">
        <f>IF(VLOOKUP(B16,'Citywide Standards'!E:AZ,13,FALSE)&lt;3.0001,VLOOKUP(B16,'Citywide Standards'!E:AZ,13,FALSE),"-")</f>
        <v>-</v>
      </c>
      <c r="G16" s="99" t="str">
        <f>IF(VLOOKUP(B16,'Citywide Standards'!E:AZ,17,FALSE)&lt;2.0001,VLOOKUP(B16,'Citywide Standards'!E:AZ,17,FALSE),"-")</f>
        <v>-</v>
      </c>
      <c r="H16" s="99" t="str">
        <f>VLOOKUP(B16,'Citywide Standards'!E:AZ,7,FALSE)</f>
        <v xml:space="preserve"> - </v>
      </c>
      <c r="I16" s="99" t="str">
        <f>VLOOKUP(B16,'Citywide Standards'!E:AZ,14,FALSE)</f>
        <v xml:space="preserve"> - </v>
      </c>
      <c r="J16" s="99" t="str">
        <f>VLOOKUP(B16,'Citywide Standards'!E:AZ,18,FALSE)</f>
        <v xml:space="preserve"> - </v>
      </c>
      <c r="K16" s="88" t="str">
        <f>VLOOKUP(B16,'Citywide Standards'!E:AZ,22,FALSE)</f>
        <v>Yes</v>
      </c>
      <c r="L16" s="88" t="str">
        <f>VLOOKUP(B16,'Citywide Standards'!E:AZ,26,FALSE)</f>
        <v>Yes</v>
      </c>
      <c r="M16" s="88" t="str">
        <f>VLOOKUP(B16,'Citywide Standards'!E:AZ,27,FALSE)</f>
        <v>Yes</v>
      </c>
      <c r="N16" s="88" t="str">
        <f>VLOOKUP(B16,'Citywide Standards'!E:AZ,32,FALSE)</f>
        <v>Yes</v>
      </c>
    </row>
    <row r="17" spans="1:14" s="25" customFormat="1" x14ac:dyDescent="0.2">
      <c r="A17" s="165" t="s">
        <v>4</v>
      </c>
      <c r="B17" s="165" t="s">
        <v>74</v>
      </c>
      <c r="C17" s="165" t="str">
        <f>VLOOKUP(B17,'Citywide Standards'!E:G,2,FALSE)</f>
        <v>Outer Suburb</v>
      </c>
      <c r="D17" s="166">
        <f>VLOOKUP(B17,'Citywide Standards'!E:G,3,FALSE)</f>
        <v>91861</v>
      </c>
      <c r="E17" s="99" t="str">
        <f>IF(VLOOKUP(B17,'Citywide Standards'!E:AZ,5,FALSE)&lt;1.0001,VLOOKUP(B17,'Citywide Standards'!E:AZ,5,FALSE),"-")</f>
        <v>-</v>
      </c>
      <c r="F17" s="99" t="str">
        <f>IF(VLOOKUP(B17,'Citywide Standards'!E:AZ,13,FALSE)&lt;3.0001,VLOOKUP(B17,'Citywide Standards'!E:AZ,13,FALSE),"-")</f>
        <v>-</v>
      </c>
      <c r="G17" s="99" t="str">
        <f>IF(VLOOKUP(B17,'Citywide Standards'!E:AZ,17,FALSE)&lt;2.0001,VLOOKUP(B17,'Citywide Standards'!E:AZ,17,FALSE),"-")</f>
        <v>-</v>
      </c>
      <c r="H17" s="99" t="str">
        <f>VLOOKUP(B17,'Citywide Standards'!E:AZ,7,FALSE)</f>
        <v xml:space="preserve"> -</v>
      </c>
      <c r="I17" s="99" t="str">
        <f>VLOOKUP(B17,'Citywide Standards'!E:AZ,14,FALSE)</f>
        <v xml:space="preserve"> - </v>
      </c>
      <c r="J17" s="99" t="str">
        <f>VLOOKUP(B17,'Citywide Standards'!E:AZ,18,FALSE)</f>
        <v xml:space="preserve"> - </v>
      </c>
      <c r="K17" s="88" t="str">
        <f>VLOOKUP(B17,'Citywide Standards'!E:AZ,22,FALSE)</f>
        <v>Yes</v>
      </c>
      <c r="L17" s="88" t="str">
        <f>VLOOKUP(B17,'Citywide Standards'!E:AZ,26,FALSE)</f>
        <v>Yes</v>
      </c>
      <c r="M17" s="88" t="str">
        <f>VLOOKUP(B17,'Citywide Standards'!E:AZ,27,FALSE)</f>
        <v>No</v>
      </c>
      <c r="N17" s="88" t="str">
        <f>VLOOKUP(B17,'Citywide Standards'!E:AZ,32,FALSE)</f>
        <v>Yes</v>
      </c>
    </row>
    <row r="18" spans="1:14" s="25" customFormat="1" x14ac:dyDescent="0.2">
      <c r="A18" s="165" t="s">
        <v>24</v>
      </c>
      <c r="B18" s="165" t="s">
        <v>64</v>
      </c>
      <c r="C18" s="165" t="str">
        <f>VLOOKUP(B18,'Citywide Standards'!E:G,2,FALSE)</f>
        <v>Core Suburb</v>
      </c>
      <c r="D18" s="166">
        <f>VLOOKUP(B18,'Citywide Standards'!E:G,3,FALSE)</f>
        <v>22832</v>
      </c>
      <c r="E18" s="99" t="str">
        <f>IF(VLOOKUP(B18,'Citywide Standards'!E:AZ,5,FALSE)&lt;1.0001,VLOOKUP(B18,'Citywide Standards'!E:AZ,5,FALSE),"-")</f>
        <v>-</v>
      </c>
      <c r="F18" s="99" t="str">
        <f>IF(VLOOKUP(B18,'Citywide Standards'!E:AZ,13,FALSE)&lt;3.0001,VLOOKUP(B18,'Citywide Standards'!E:AZ,13,FALSE),"-")</f>
        <v>-</v>
      </c>
      <c r="G18" s="99" t="str">
        <f>IF(VLOOKUP(B18,'Citywide Standards'!E:AZ,17,FALSE)&lt;2.0001,VLOOKUP(B18,'Citywide Standards'!E:AZ,17,FALSE),"-")</f>
        <v>-</v>
      </c>
      <c r="H18" s="99" t="str">
        <f>VLOOKUP(B18,'Citywide Standards'!E:AZ,7,FALSE)</f>
        <v xml:space="preserve"> -</v>
      </c>
      <c r="I18" s="99" t="str">
        <f>VLOOKUP(B18,'Citywide Standards'!E:AZ,14,FALSE)</f>
        <v>-</v>
      </c>
      <c r="J18" s="99" t="str">
        <f>VLOOKUP(B18,'Citywide Standards'!E:AZ,18,FALSE)</f>
        <v xml:space="preserve"> -</v>
      </c>
      <c r="K18" s="88" t="str">
        <f>VLOOKUP(B18,'Citywide Standards'!E:AZ,22,FALSE)</f>
        <v>No</v>
      </c>
      <c r="L18" s="88" t="str">
        <f>VLOOKUP(B18,'Citywide Standards'!E:AZ,26,FALSE)</f>
        <v>No</v>
      </c>
      <c r="M18" s="88" t="str">
        <f>VLOOKUP(B18,'Citywide Standards'!E:AZ,27,FALSE)</f>
        <v>Yes</v>
      </c>
      <c r="N18" s="88" t="str">
        <f>VLOOKUP(B18,'Citywide Standards'!E:AZ,32,FALSE)</f>
        <v>No</v>
      </c>
    </row>
    <row r="19" spans="1:14" s="25" customFormat="1" x14ac:dyDescent="0.2">
      <c r="A19" s="165" t="s">
        <v>48</v>
      </c>
      <c r="B19" s="165" t="s">
        <v>69</v>
      </c>
      <c r="C19" s="165" t="str">
        <f>VLOOKUP(B19,'Citywide Standards'!E:G,2,FALSE)</f>
        <v>Core Suburb</v>
      </c>
      <c r="D19" s="166">
        <f>VLOOKUP(B19,'Citywide Standards'!E:G,3,FALSE)</f>
        <v>77961</v>
      </c>
      <c r="E19" s="99" t="str">
        <f>IF(VLOOKUP(B19,'Citywide Standards'!E:AZ,5,FALSE)&lt;1.0001,VLOOKUP(B19,'Citywide Standards'!E:AZ,5,FALSE),"-")</f>
        <v>-</v>
      </c>
      <c r="F19" s="99" t="str">
        <f>IF(VLOOKUP(B19,'Citywide Standards'!E:AZ,13,FALSE)&lt;3.0001,VLOOKUP(B19,'Citywide Standards'!E:AZ,13,FALSE),"-")</f>
        <v>-</v>
      </c>
      <c r="G19" s="99" t="str">
        <f>IF(VLOOKUP(B19,'Citywide Standards'!E:AZ,17,FALSE)&lt;2.0001,VLOOKUP(B19,'Citywide Standards'!E:AZ,17,FALSE),"-")</f>
        <v>-</v>
      </c>
      <c r="H19" s="99" t="str">
        <f>VLOOKUP(B19,'Citywide Standards'!E:AZ,7,FALSE)</f>
        <v xml:space="preserve"> -</v>
      </c>
      <c r="I19" s="99" t="str">
        <f>VLOOKUP(B19,'Citywide Standards'!E:AZ,14,FALSE)</f>
        <v xml:space="preserve"> -</v>
      </c>
      <c r="J19" s="99" t="str">
        <f>VLOOKUP(B19,'Citywide Standards'!E:AZ,18,FALSE)</f>
        <v xml:space="preserve"> -</v>
      </c>
      <c r="K19" s="88" t="str">
        <f>VLOOKUP(B19,'Citywide Standards'!E:AZ,22,FALSE)</f>
        <v>Yes</v>
      </c>
      <c r="L19" s="88" t="str">
        <f>VLOOKUP(B19,'Citywide Standards'!E:AZ,26,FALSE)</f>
        <v>Yes</v>
      </c>
      <c r="M19" s="88" t="str">
        <f>VLOOKUP(B19,'Citywide Standards'!E:AZ,27,FALSE)</f>
        <v>Yes</v>
      </c>
      <c r="N19" s="88" t="str">
        <f>VLOOKUP(B19,'Citywide Standards'!E:AZ,32,FALSE)</f>
        <v>No</v>
      </c>
    </row>
    <row r="20" spans="1:14" s="25" customFormat="1" x14ac:dyDescent="0.2">
      <c r="A20" s="165" t="s">
        <v>48</v>
      </c>
      <c r="B20" s="165" t="s">
        <v>91</v>
      </c>
      <c r="C20" s="165" t="str">
        <f>VLOOKUP(B20,'Citywide Standards'!E:G,2,FALSE)</f>
        <v>Outer Suburb</v>
      </c>
      <c r="D20" s="166">
        <f>VLOOKUP(B20,'Citywide Standards'!E:G,3,FALSE)</f>
        <v>46454</v>
      </c>
      <c r="E20" s="99" t="str">
        <f>IF(VLOOKUP(B20,'Citywide Standards'!E:AZ,5,FALSE)&lt;1.0001,VLOOKUP(B20,'Citywide Standards'!E:AZ,5,FALSE),"-")</f>
        <v>-</v>
      </c>
      <c r="F20" s="99">
        <f>IF(VLOOKUP(B20,'Citywide Standards'!E:AZ,13,FALSE)&lt;3.0001,VLOOKUP(B20,'Citywide Standards'!E:AZ,13,FALSE),"-")</f>
        <v>2.8</v>
      </c>
      <c r="G20" s="99" t="str">
        <f>IF(VLOOKUP(B20,'Citywide Standards'!E:AZ,17,FALSE)&lt;2.0001,VLOOKUP(B20,'Citywide Standards'!E:AZ,17,FALSE),"-")</f>
        <v>-</v>
      </c>
      <c r="H20" s="99" t="str">
        <f>VLOOKUP(B20,'Citywide Standards'!E:AZ,7,FALSE)</f>
        <v xml:space="preserve"> -</v>
      </c>
      <c r="I20" s="99" t="str">
        <f>VLOOKUP(B20,'Citywide Standards'!E:AZ,14,FALSE)</f>
        <v xml:space="preserve"> -</v>
      </c>
      <c r="J20" s="99" t="str">
        <f>VLOOKUP(B20,'Citywide Standards'!E:AZ,18,FALSE)</f>
        <v xml:space="preserve"> -</v>
      </c>
      <c r="K20" s="88" t="str">
        <f>VLOOKUP(B20,'Citywide Standards'!E:AZ,22,FALSE)</f>
        <v>Yes</v>
      </c>
      <c r="L20" s="88" t="str">
        <f>VLOOKUP(B20,'Citywide Standards'!E:AZ,26,FALSE)</f>
        <v>No</v>
      </c>
      <c r="M20" s="88" t="str">
        <f>VLOOKUP(B20,'Citywide Standards'!E:AZ,27,FALSE)</f>
        <v>No</v>
      </c>
      <c r="N20" s="88" t="str">
        <f>VLOOKUP(B20,'Citywide Standards'!E:AZ,32,FALSE)</f>
        <v>Yes</v>
      </c>
    </row>
    <row r="21" spans="1:14" s="25" customFormat="1" x14ac:dyDescent="0.2">
      <c r="A21" s="165" t="s">
        <v>48</v>
      </c>
      <c r="B21" s="165" t="s">
        <v>106</v>
      </c>
      <c r="C21" s="165" t="str">
        <f>VLOOKUP(B21,'Citywide Standards'!E:G,2,FALSE)</f>
        <v>Urban Area</v>
      </c>
      <c r="D21" s="166">
        <f>VLOOKUP(B21,'Citywide Standards'!E:G,3,FALSE)</f>
        <v>82272</v>
      </c>
      <c r="E21" s="99" t="str">
        <f>IF(VLOOKUP(B21,'Citywide Standards'!E:AZ,5,FALSE)&lt;1.0001,VLOOKUP(B21,'Citywide Standards'!E:AZ,5,FALSE),"-")</f>
        <v>-</v>
      </c>
      <c r="F21" s="99" t="str">
        <f>IF(VLOOKUP(B21,'Citywide Standards'!E:AZ,13,FALSE)&lt;3.0001,VLOOKUP(B21,'Citywide Standards'!E:AZ,13,FALSE),"-")</f>
        <v>-</v>
      </c>
      <c r="G21" s="99" t="str">
        <f>IF(VLOOKUP(B21,'Citywide Standards'!E:AZ,17,FALSE)&lt;2.0001,VLOOKUP(B21,'Citywide Standards'!E:AZ,17,FALSE),"-")</f>
        <v>-</v>
      </c>
      <c r="H21" s="99" t="str">
        <f>VLOOKUP(B21,'Citywide Standards'!E:AZ,7,FALSE)</f>
        <v xml:space="preserve"> -</v>
      </c>
      <c r="I21" s="99" t="str">
        <f>VLOOKUP(B21,'Citywide Standards'!E:AZ,14,FALSE)</f>
        <v xml:space="preserve"> -</v>
      </c>
      <c r="J21" s="99" t="str">
        <f>VLOOKUP(B21,'Citywide Standards'!E:AZ,18,FALSE)</f>
        <v xml:space="preserve"> -</v>
      </c>
      <c r="K21" s="88" t="str">
        <f>VLOOKUP(B21,'Citywide Standards'!E:AZ,22,FALSE)</f>
        <v>Yes</v>
      </c>
      <c r="L21" s="88" t="str">
        <f>VLOOKUP(B21,'Citywide Standards'!E:AZ,26,FALSE)</f>
        <v>No</v>
      </c>
      <c r="M21" s="88" t="str">
        <f>VLOOKUP(B21,'Citywide Standards'!E:AZ,27,FALSE)</f>
        <v>Yes</v>
      </c>
      <c r="N21" s="88" t="str">
        <f>VLOOKUP(B21,'Citywide Standards'!E:AZ,32,FALSE)</f>
        <v>No</v>
      </c>
    </row>
    <row r="22" spans="1:14" s="25" customFormat="1" x14ac:dyDescent="0.2">
      <c r="A22" s="165" t="s">
        <v>27</v>
      </c>
      <c r="B22" s="165" t="s">
        <v>27</v>
      </c>
      <c r="C22" s="165" t="str">
        <f>VLOOKUP(B22,'Citywide Standards'!E:G,2,FALSE)</f>
        <v>Urban Area</v>
      </c>
      <c r="D22" s="166">
        <f>VLOOKUP(B22,'Citywide Standards'!E:G,3,FALSE)</f>
        <v>79278</v>
      </c>
      <c r="E22" s="99" t="str">
        <f>IF(VLOOKUP(B22,'Citywide Standards'!E:AZ,5,FALSE)&lt;1.0001,VLOOKUP(B22,'Citywide Standards'!E:AZ,5,FALSE),"-")</f>
        <v>-</v>
      </c>
      <c r="F22" s="99" t="str">
        <f>IF(VLOOKUP(B22,'Citywide Standards'!E:AZ,13,FALSE)&lt;3.0001,VLOOKUP(B22,'Citywide Standards'!E:AZ,13,FALSE),"-")</f>
        <v>-</v>
      </c>
      <c r="G22" s="99" t="str">
        <f>IF(VLOOKUP(B22,'Citywide Standards'!E:AZ,17,FALSE)&lt;2.0001,VLOOKUP(B22,'Citywide Standards'!E:AZ,17,FALSE),"-")</f>
        <v>-</v>
      </c>
      <c r="H22" s="99" t="str">
        <f>VLOOKUP(B22,'Citywide Standards'!E:AZ,7,FALSE)</f>
        <v xml:space="preserve"> -</v>
      </c>
      <c r="I22" s="99" t="str">
        <f>VLOOKUP(B22,'Citywide Standards'!E:AZ,14,FALSE)</f>
        <v xml:space="preserve"> -</v>
      </c>
      <c r="J22" s="99" t="str">
        <f>VLOOKUP(B22,'Citywide Standards'!E:AZ,18,FALSE)</f>
        <v xml:space="preserve"> -</v>
      </c>
      <c r="K22" s="88" t="str">
        <f>VLOOKUP(B22,'Citywide Standards'!E:AZ,22,FALSE)</f>
        <v>Yes</v>
      </c>
      <c r="L22" s="88" t="str">
        <f>VLOOKUP(B22,'Citywide Standards'!E:AZ,26,FALSE)</f>
        <v>Yes</v>
      </c>
      <c r="M22" s="88" t="str">
        <f>VLOOKUP(B22,'Citywide Standards'!E:AZ,27,FALSE)</f>
        <v>No</v>
      </c>
      <c r="N22" s="88" t="str">
        <f>VLOOKUP(B22,'Citywide Standards'!E:AZ,32,FALSE)</f>
        <v>No</v>
      </c>
    </row>
    <row r="23" spans="1:14" s="25" customFormat="1" x14ac:dyDescent="0.2">
      <c r="A23" s="165" t="s">
        <v>4</v>
      </c>
      <c r="B23" s="165" t="s">
        <v>76</v>
      </c>
      <c r="C23" s="165" t="str">
        <f>VLOOKUP(B23,'Citywide Standards'!E:G,2,FALSE)</f>
        <v>Outer Suburb</v>
      </c>
      <c r="D23" s="166">
        <f>VLOOKUP(B23,'Citywide Standards'!E:G,3,FALSE)</f>
        <v>48966</v>
      </c>
      <c r="E23" s="99" t="str">
        <f>IF(VLOOKUP(B23,'Citywide Standards'!E:AZ,5,FALSE)&lt;1.0001,VLOOKUP(B23,'Citywide Standards'!E:AZ,5,FALSE),"-")</f>
        <v>-</v>
      </c>
      <c r="F23" s="99" t="str">
        <f>IF(VLOOKUP(B23,'Citywide Standards'!E:AZ,13,FALSE)&lt;3.0001,VLOOKUP(B23,'Citywide Standards'!E:AZ,13,FALSE),"-")</f>
        <v>-</v>
      </c>
      <c r="G23" s="99" t="str">
        <f>IF(VLOOKUP(B23,'Citywide Standards'!E:AZ,17,FALSE)&lt;2.0001,VLOOKUP(B23,'Citywide Standards'!E:AZ,17,FALSE),"-")</f>
        <v>-</v>
      </c>
      <c r="H23" s="99" t="str">
        <f>VLOOKUP(B23,'Citywide Standards'!E:AZ,7,FALSE)</f>
        <v xml:space="preserve"> - </v>
      </c>
      <c r="I23" s="99" t="str">
        <f>VLOOKUP(B23,'Citywide Standards'!E:AZ,14,FALSE)</f>
        <v xml:space="preserve"> - </v>
      </c>
      <c r="J23" s="99" t="str">
        <f>VLOOKUP(B23,'Citywide Standards'!E:AZ,18,FALSE)</f>
        <v xml:space="preserve"> - </v>
      </c>
      <c r="K23" s="88" t="str">
        <f>VLOOKUP(B23,'Citywide Standards'!E:AZ,22,FALSE)</f>
        <v>Yes</v>
      </c>
      <c r="L23" s="88" t="str">
        <f>VLOOKUP(B23,'Citywide Standards'!E:AZ,26,FALSE)</f>
        <v>Yes</v>
      </c>
      <c r="M23" s="88" t="str">
        <f>VLOOKUP(B23,'Citywide Standards'!E:AZ,27,FALSE)</f>
        <v>Yes</v>
      </c>
      <c r="N23" s="88" t="str">
        <f>VLOOKUP(B23,'Citywide Standards'!E:AZ,32,FALSE)</f>
        <v>No</v>
      </c>
    </row>
    <row r="24" spans="1:14" s="25" customFormat="1" x14ac:dyDescent="0.2">
      <c r="A24" s="165" t="s">
        <v>4</v>
      </c>
      <c r="B24" s="165" t="s">
        <v>110</v>
      </c>
      <c r="C24" s="165" t="str">
        <f>VLOOKUP(B24,'Citywide Standards'!E:G,2,FALSE)</f>
        <v>Urban Center</v>
      </c>
      <c r="D24" s="166">
        <f>VLOOKUP(B24,'Citywide Standards'!E:G,3,FALSE)</f>
        <v>433697</v>
      </c>
      <c r="E24" s="99" t="str">
        <f>IF(VLOOKUP(B24,'Citywide Standards'!E:AZ,5,FALSE)&lt;1.0001,VLOOKUP(B24,'Citywide Standards'!E:AZ,5,FALSE),"-")</f>
        <v>-</v>
      </c>
      <c r="F24" s="99">
        <f>IF(VLOOKUP(B24,'Citywide Standards'!E:AZ,13,FALSE)&lt;3.0001,VLOOKUP(B24,'Citywide Standards'!E:AZ,13,FALSE),"-")</f>
        <v>1</v>
      </c>
      <c r="G24" s="99">
        <f>IF(VLOOKUP(B24,'Citywide Standards'!E:AZ,17,FALSE)&lt;2.0001,VLOOKUP(B24,'Citywide Standards'!E:AZ,17,FALSE),"-")</f>
        <v>1.6666666666666667</v>
      </c>
      <c r="H24" s="99">
        <f>VLOOKUP(B24,'Citywide Standards'!E:AZ,7,FALSE)</f>
        <v>1.25</v>
      </c>
      <c r="I24" s="99">
        <f>VLOOKUP(B24,'Citywide Standards'!E:AZ,14,FALSE)</f>
        <v>3.3</v>
      </c>
      <c r="J24" s="99">
        <f>VLOOKUP(B24,'Citywide Standards'!E:AZ,18,FALSE)</f>
        <v>3.3333333333333335</v>
      </c>
      <c r="K24" s="88" t="str">
        <f>VLOOKUP(B24,'Citywide Standards'!E:AZ,22,FALSE)</f>
        <v>Yes</v>
      </c>
      <c r="L24" s="88" t="str">
        <f>VLOOKUP(B24,'Citywide Standards'!E:AZ,26,FALSE)</f>
        <v>Yes</v>
      </c>
      <c r="M24" s="88" t="str">
        <f>VLOOKUP(B24,'Citywide Standards'!E:AZ,27,FALSE)</f>
        <v>Yes</v>
      </c>
      <c r="N24" s="88" t="str">
        <f>VLOOKUP(B24,'Citywide Standards'!E:AZ,32,FALSE)</f>
        <v>Yes</v>
      </c>
    </row>
    <row r="25" spans="1:14" s="25" customFormat="1" x14ac:dyDescent="0.2">
      <c r="A25" s="165" t="s">
        <v>42</v>
      </c>
      <c r="B25" s="165" t="s">
        <v>66</v>
      </c>
      <c r="C25" s="165" t="str">
        <f>VLOOKUP(B25,'Citywide Standards'!E:G,2,FALSE)</f>
        <v>Core Suburb</v>
      </c>
      <c r="D25" s="166">
        <f>VLOOKUP(B25,'Citywide Standards'!E:G,3,FALSE)</f>
        <v>61873</v>
      </c>
      <c r="E25" s="99" t="str">
        <f>IF(VLOOKUP(B25,'Citywide Standards'!E:AZ,5,FALSE)&lt;1.0001,VLOOKUP(B25,'Citywide Standards'!E:AZ,5,FALSE),"-")</f>
        <v>-</v>
      </c>
      <c r="F25" s="99" t="str">
        <f>IF(VLOOKUP(B25,'Citywide Standards'!E:AZ,13,FALSE)&lt;3.0001,VLOOKUP(B25,'Citywide Standards'!E:AZ,13,FALSE),"-")</f>
        <v>-</v>
      </c>
      <c r="G25" s="99" t="str">
        <f>IF(VLOOKUP(B25,'Citywide Standards'!E:AZ,17,FALSE)&lt;2.0001,VLOOKUP(B25,'Citywide Standards'!E:AZ,17,FALSE),"-")</f>
        <v>-</v>
      </c>
      <c r="H25" s="99" t="str">
        <f>VLOOKUP(B25,'Citywide Standards'!E:AZ,7,FALSE)</f>
        <v xml:space="preserve"> -</v>
      </c>
      <c r="I25" s="99" t="str">
        <f>VLOOKUP(B25,'Citywide Standards'!E:AZ,14,FALSE)</f>
        <v xml:space="preserve"> -</v>
      </c>
      <c r="J25" s="99" t="str">
        <f>VLOOKUP(B25,'Citywide Standards'!E:AZ,18,FALSE)</f>
        <v xml:space="preserve"> -</v>
      </c>
      <c r="K25" s="88" t="str">
        <f>VLOOKUP(B25,'Citywide Standards'!E:AZ,22,FALSE)</f>
        <v>No</v>
      </c>
      <c r="L25" s="88" t="str">
        <f>VLOOKUP(B25,'Citywide Standards'!E:AZ,26,FALSE)</f>
        <v>No</v>
      </c>
      <c r="M25" s="88" t="str">
        <f>VLOOKUP(B25,'Citywide Standards'!E:AZ,27,FALSE)</f>
        <v>No</v>
      </c>
      <c r="N25" s="88" t="str">
        <f>VLOOKUP(B25,'Citywide Standards'!E:AZ,32,FALSE)</f>
        <v>No</v>
      </c>
    </row>
    <row r="26" spans="1:14" s="25" customFormat="1" x14ac:dyDescent="0.2">
      <c r="A26" s="165" t="s">
        <v>9</v>
      </c>
      <c r="B26" s="165" t="s">
        <v>95</v>
      </c>
      <c r="C26" s="165" t="str">
        <f>VLOOKUP(B26,'Citywide Standards'!E:G,2,FALSE)</f>
        <v>Outer Suburb</v>
      </c>
      <c r="D26" s="166">
        <f>VLOOKUP(B26,'Citywide Standards'!E:G,3,FALSE)</f>
        <v>74321</v>
      </c>
      <c r="E26" s="99" t="str">
        <f>IF(VLOOKUP(B26,'Citywide Standards'!E:AZ,5,FALSE)&lt;1.0001,VLOOKUP(B26,'Citywide Standards'!E:AZ,5,FALSE),"-")</f>
        <v>-</v>
      </c>
      <c r="F26" s="99" t="str">
        <f>IF(VLOOKUP(B26,'Citywide Standards'!E:AZ,13,FALSE)&lt;3.0001,VLOOKUP(B26,'Citywide Standards'!E:AZ,13,FALSE),"-")</f>
        <v>-</v>
      </c>
      <c r="G26" s="99" t="str">
        <f>IF(VLOOKUP(B26,'Citywide Standards'!E:AZ,17,FALSE)&lt;2.0001,VLOOKUP(B26,'Citywide Standards'!E:AZ,17,FALSE),"-")</f>
        <v>-</v>
      </c>
      <c r="H26" s="99" t="str">
        <f>VLOOKUP(B26,'Citywide Standards'!E:AZ,7,FALSE)</f>
        <v xml:space="preserve"> - </v>
      </c>
      <c r="I26" s="99" t="str">
        <f>VLOOKUP(B26,'Citywide Standards'!E:AZ,14,FALSE)</f>
        <v xml:space="preserve"> - </v>
      </c>
      <c r="J26" s="99" t="str">
        <f>VLOOKUP(B26,'Citywide Standards'!E:AZ,18,FALSE)</f>
        <v xml:space="preserve"> - </v>
      </c>
      <c r="K26" s="88" t="str">
        <f>VLOOKUP(B26,'Citywide Standards'!E:AZ,22,FALSE)</f>
        <v>Yes</v>
      </c>
      <c r="L26" s="88" t="str">
        <f>VLOOKUP(B26,'Citywide Standards'!E:AZ,26,FALSE)</f>
        <v>Yes</v>
      </c>
      <c r="M26" s="88" t="str">
        <f>VLOOKUP(B26,'Citywide Standards'!E:AZ,27,FALSE)</f>
        <v>No</v>
      </c>
      <c r="N26" s="88" t="str">
        <f>VLOOKUP(B26,'Citywide Standards'!E:AZ,32,FALSE)</f>
        <v>No</v>
      </c>
    </row>
    <row r="27" spans="1:14" s="5" customFormat="1" x14ac:dyDescent="0.2">
      <c r="A27" s="165" t="s">
        <v>9</v>
      </c>
      <c r="B27" s="165" t="s">
        <v>59</v>
      </c>
      <c r="C27" s="165" t="str">
        <f>VLOOKUP(B27,'Citywide Standards'!E:G,2,FALSE)</f>
        <v>Core Suburb</v>
      </c>
      <c r="D27" s="166">
        <f>VLOOKUP(B27,'Citywide Standards'!E:G,3,FALSE)</f>
        <v>34267</v>
      </c>
      <c r="E27" s="99" t="str">
        <f>IF(VLOOKUP(B27,'Citywide Standards'!E:AZ,5,FALSE)&lt;1.0001,VLOOKUP(B27,'Citywide Standards'!E:AZ,5,FALSE),"-")</f>
        <v>-</v>
      </c>
      <c r="F27" s="99" t="str">
        <f>IF(VLOOKUP(B27,'Citywide Standards'!E:AZ,13,FALSE)&lt;3.0001,VLOOKUP(B27,'Citywide Standards'!E:AZ,13,FALSE),"-")</f>
        <v>-</v>
      </c>
      <c r="G27" s="99" t="str">
        <f>IF(VLOOKUP(B27,'Citywide Standards'!E:AZ,17,FALSE)&lt;2.0001,VLOOKUP(B27,'Citywide Standards'!E:AZ,17,FALSE),"-")</f>
        <v>-</v>
      </c>
      <c r="H27" s="99" t="str">
        <f>VLOOKUP(B27,'Citywide Standards'!E:AZ,7,FALSE)</f>
        <v xml:space="preserve"> - </v>
      </c>
      <c r="I27" s="99" t="str">
        <f>VLOOKUP(B27,'Citywide Standards'!E:AZ,14,FALSE)</f>
        <v xml:space="preserve"> - </v>
      </c>
      <c r="J27" s="99" t="str">
        <f>VLOOKUP(B27,'Citywide Standards'!E:AZ,18,FALSE)</f>
        <v>-</v>
      </c>
      <c r="K27" s="88" t="str">
        <f>VLOOKUP(B27,'Citywide Standards'!E:AZ,22,FALSE)</f>
        <v>Yes</v>
      </c>
      <c r="L27" s="88" t="str">
        <f>VLOOKUP(B27,'Citywide Standards'!E:AZ,26,FALSE)</f>
        <v>Yes</v>
      </c>
      <c r="M27" s="88" t="str">
        <f>VLOOKUP(B27,'Citywide Standards'!E:AZ,27,FALSE)</f>
        <v>No</v>
      </c>
      <c r="N27" s="88" t="str">
        <f>VLOOKUP(B27,'Citywide Standards'!E:AZ,32,FALSE)</f>
        <v>No</v>
      </c>
    </row>
    <row r="28" spans="1:14" s="25" customFormat="1" x14ac:dyDescent="0.2">
      <c r="A28" s="165" t="s">
        <v>24</v>
      </c>
      <c r="B28" s="165" t="s">
        <v>61</v>
      </c>
      <c r="C28" s="165" t="str">
        <f>VLOOKUP(B28,'Citywide Standards'!E:G,2,FALSE)</f>
        <v>Core Suburb</v>
      </c>
      <c r="D28" s="166">
        <f>VLOOKUP(B28,'Citywide Standards'!E:G,3,FALSE)</f>
        <v>86754</v>
      </c>
      <c r="E28" s="99" t="str">
        <f>IF(VLOOKUP(B28,'Citywide Standards'!E:AZ,5,FALSE)&lt;1.0001,VLOOKUP(B28,'Citywide Standards'!E:AZ,5,FALSE),"-")</f>
        <v>-</v>
      </c>
      <c r="F28" s="99" t="str">
        <f>IF(VLOOKUP(B28,'Citywide Standards'!E:AZ,13,FALSE)&lt;3.0001,VLOOKUP(B28,'Citywide Standards'!E:AZ,13,FALSE),"-")</f>
        <v>-</v>
      </c>
      <c r="G28" s="99" t="str">
        <f>IF(VLOOKUP(B28,'Citywide Standards'!E:AZ,17,FALSE)&lt;2.0001,VLOOKUP(B28,'Citywide Standards'!E:AZ,17,FALSE),"-")</f>
        <v>-</v>
      </c>
      <c r="H28" s="99" t="str">
        <f>VLOOKUP(B28,'Citywide Standards'!E:AZ,7,FALSE)</f>
        <v>-</v>
      </c>
      <c r="I28" s="99" t="str">
        <f>VLOOKUP(B28,'Citywide Standards'!E:AZ,14,FALSE)</f>
        <v xml:space="preserve"> -</v>
      </c>
      <c r="J28" s="99" t="str">
        <f>VLOOKUP(B28,'Citywide Standards'!E:AZ,18,FALSE)</f>
        <v xml:space="preserve"> -</v>
      </c>
      <c r="K28" s="88" t="str">
        <f>VLOOKUP(B28,'Citywide Standards'!E:AZ,22,FALSE)</f>
        <v>Yes</v>
      </c>
      <c r="L28" s="88" t="str">
        <f>VLOOKUP(B28,'Citywide Standards'!E:AZ,26,FALSE)</f>
        <v>No</v>
      </c>
      <c r="M28" s="88" t="str">
        <f>VLOOKUP(B28,'Citywide Standards'!E:AZ,27,FALSE)</f>
        <v>Yes</v>
      </c>
      <c r="N28" s="88" t="str">
        <f>VLOOKUP(B28,'Citywide Standards'!E:AZ,32,FALSE)</f>
        <v>No</v>
      </c>
    </row>
    <row r="29" spans="1:14" s="25" customFormat="1" x14ac:dyDescent="0.2">
      <c r="A29" s="165" t="s">
        <v>9</v>
      </c>
      <c r="B29" s="165" t="s">
        <v>100</v>
      </c>
      <c r="C29" s="165" t="str">
        <f>VLOOKUP(B29,'Citywide Standards'!E:G,2,FALSE)</f>
        <v>Urban Area</v>
      </c>
      <c r="D29" s="166">
        <f>VLOOKUP(B29,'Citywide Standards'!E:G,3,FALSE)</f>
        <v>111217</v>
      </c>
      <c r="E29" s="99" t="str">
        <f>IF(VLOOKUP(B29,'Citywide Standards'!E:AZ,5,FALSE)&lt;1.0001,VLOOKUP(B29,'Citywide Standards'!E:AZ,5,FALSE),"-")</f>
        <v>-</v>
      </c>
      <c r="F29" s="99" t="str">
        <f>IF(VLOOKUP(B29,'Citywide Standards'!E:AZ,13,FALSE)&lt;3.0001,VLOOKUP(B29,'Citywide Standards'!E:AZ,13,FALSE),"-")</f>
        <v>-</v>
      </c>
      <c r="G29" s="99" t="str">
        <f>IF(VLOOKUP(B29,'Citywide Standards'!E:AZ,17,FALSE)&lt;2.0001,VLOOKUP(B29,'Citywide Standards'!E:AZ,17,FALSE),"-")</f>
        <v>-</v>
      </c>
      <c r="H29" s="99" t="str">
        <f>VLOOKUP(B29,'Citywide Standards'!E:AZ,7,FALSE)</f>
        <v>-</v>
      </c>
      <c r="I29" s="99" t="str">
        <f>VLOOKUP(B29,'Citywide Standards'!E:AZ,14,FALSE)</f>
        <v xml:space="preserve"> -</v>
      </c>
      <c r="J29" s="99" t="str">
        <f>VLOOKUP(B29,'Citywide Standards'!E:AZ,18,FALSE)</f>
        <v xml:space="preserve"> -</v>
      </c>
      <c r="K29" s="88" t="str">
        <f>VLOOKUP(B29,'Citywide Standards'!E:AZ,22,FALSE)</f>
        <v>Yes</v>
      </c>
      <c r="L29" s="88" t="str">
        <f>VLOOKUP(B29,'Citywide Standards'!E:AZ,26,FALSE)</f>
        <v>Yes</v>
      </c>
      <c r="M29" s="88" t="str">
        <f>VLOOKUP(B29,'Citywide Standards'!E:AZ,27,FALSE)</f>
        <v>Yes</v>
      </c>
      <c r="N29" s="88" t="str">
        <f>VLOOKUP(B29,'Citywide Standards'!E:AZ,32,FALSE)</f>
        <v>Yes</v>
      </c>
    </row>
    <row r="30" spans="1:14" s="25" customFormat="1" x14ac:dyDescent="0.2">
      <c r="A30" s="165" t="s">
        <v>42</v>
      </c>
      <c r="B30" s="165" t="s">
        <v>84</v>
      </c>
      <c r="C30" s="165" t="str">
        <f>VLOOKUP(B30,'Citywide Standards'!E:G,2,FALSE)</f>
        <v>Outer Suburb</v>
      </c>
      <c r="D30" s="166">
        <f>VLOOKUP(B30,'Citywide Standards'!E:G,3,FALSE)</f>
        <v>43069</v>
      </c>
      <c r="E30" s="99" t="str">
        <f>IF(VLOOKUP(B30,'Citywide Standards'!E:AZ,5,FALSE)&lt;1.0001,VLOOKUP(B30,'Citywide Standards'!E:AZ,5,FALSE),"-")</f>
        <v>-</v>
      </c>
      <c r="F30" s="99">
        <f>IF(VLOOKUP(B30,'Citywide Standards'!E:AZ,13,FALSE)&lt;3.0001,VLOOKUP(B30,'Citywide Standards'!E:AZ,13,FALSE),"-")</f>
        <v>3</v>
      </c>
      <c r="G30" s="99" t="str">
        <f>IF(VLOOKUP(B30,'Citywide Standards'!E:AZ,17,FALSE)&lt;2.0001,VLOOKUP(B30,'Citywide Standards'!E:AZ,17,FALSE),"-")</f>
        <v>-</v>
      </c>
      <c r="H30" s="99" t="str">
        <f>VLOOKUP(B30,'Citywide Standards'!E:AZ,7,FALSE)</f>
        <v xml:space="preserve"> -</v>
      </c>
      <c r="I30" s="99" t="str">
        <f>VLOOKUP(B30,'Citywide Standards'!E:AZ,14,FALSE)</f>
        <v xml:space="preserve"> -</v>
      </c>
      <c r="J30" s="99" t="str">
        <f>VLOOKUP(B30,'Citywide Standards'!E:AZ,18,FALSE)</f>
        <v xml:space="preserve"> -</v>
      </c>
      <c r="K30" s="88" t="str">
        <f>VLOOKUP(B30,'Citywide Standards'!E:AZ,22,FALSE)</f>
        <v>Yes</v>
      </c>
      <c r="L30" s="88" t="str">
        <f>VLOOKUP(B30,'Citywide Standards'!E:AZ,26,FALSE)</f>
        <v>Yes</v>
      </c>
      <c r="M30" s="88" t="str">
        <f>VLOOKUP(B30,'Citywide Standards'!E:AZ,27,FALSE)</f>
        <v>No</v>
      </c>
      <c r="N30" s="88" t="str">
        <f>VLOOKUP(B30,'Citywide Standards'!E:AZ,32,FALSE)</f>
        <v>No</v>
      </c>
    </row>
    <row r="31" spans="1:14" s="25" customFormat="1" x14ac:dyDescent="0.2">
      <c r="A31" s="165" t="s">
        <v>24</v>
      </c>
      <c r="B31" s="165" t="s">
        <v>65</v>
      </c>
      <c r="C31" s="165" t="str">
        <f>VLOOKUP(B31,'Citywide Standards'!E:G,2,FALSE)</f>
        <v>Core Suburb</v>
      </c>
      <c r="D31" s="166">
        <f>VLOOKUP(B31,'Citywide Standards'!E:G,3,FALSE)</f>
        <v>30145</v>
      </c>
      <c r="E31" s="99" t="str">
        <f>IF(VLOOKUP(B31,'Citywide Standards'!E:AZ,5,FALSE)&lt;1.0001,VLOOKUP(B31,'Citywide Standards'!E:AZ,5,FALSE),"-")</f>
        <v>-</v>
      </c>
      <c r="F31" s="99" t="str">
        <f>IF(VLOOKUP(B31,'Citywide Standards'!E:AZ,13,FALSE)&lt;3.0001,VLOOKUP(B31,'Citywide Standards'!E:AZ,13,FALSE),"-")</f>
        <v>-</v>
      </c>
      <c r="G31" s="99" t="str">
        <f>IF(VLOOKUP(B31,'Citywide Standards'!E:AZ,17,FALSE)&lt;2.0001,VLOOKUP(B31,'Citywide Standards'!E:AZ,17,FALSE),"-")</f>
        <v>-</v>
      </c>
      <c r="H31" s="99" t="str">
        <f>VLOOKUP(B31,'Citywide Standards'!E:AZ,7,FALSE)</f>
        <v xml:space="preserve"> -</v>
      </c>
      <c r="I31" s="99" t="str">
        <f>VLOOKUP(B31,'Citywide Standards'!E:AZ,14,FALSE)</f>
        <v xml:space="preserve"> -</v>
      </c>
      <c r="J31" s="99" t="str">
        <f>VLOOKUP(B31,'Citywide Standards'!E:AZ,18,FALSE)</f>
        <v xml:space="preserve"> -</v>
      </c>
      <c r="K31" s="88" t="str">
        <f>VLOOKUP(B31,'Citywide Standards'!E:AZ,22,FALSE)</f>
        <v>Yes</v>
      </c>
      <c r="L31" s="88" t="str">
        <f>VLOOKUP(B31,'Citywide Standards'!E:AZ,26,FALSE)</f>
        <v>Yes</v>
      </c>
      <c r="M31" s="88" t="str">
        <f>VLOOKUP(B31,'Citywide Standards'!E:AZ,27,FALSE)</f>
        <v>Yes</v>
      </c>
      <c r="N31" s="88" t="str">
        <f>VLOOKUP(B31,'Citywide Standards'!E:AZ,32,FALSE)</f>
        <v>Yes</v>
      </c>
    </row>
    <row r="32" spans="1:14" s="25" customFormat="1" x14ac:dyDescent="0.2">
      <c r="A32" s="165" t="s">
        <v>112</v>
      </c>
      <c r="B32" s="165" t="s">
        <v>112</v>
      </c>
      <c r="C32" s="165" t="str">
        <f>VLOOKUP(B32,'Citywide Standards'!E:G,2,FALSE)</f>
        <v>Urban Center</v>
      </c>
      <c r="D32" s="166">
        <f>VLOOKUP(B32,'Citywide Standards'!E:G,3,FALSE)</f>
        <v>897806</v>
      </c>
      <c r="E32" s="99">
        <f>IF(VLOOKUP(B32,'Citywide Standards'!E:AZ,5,FALSE)&lt;1.0001,VLOOKUP(B32,'Citywide Standards'!E:AZ,5,FALSE),"-")</f>
        <v>0</v>
      </c>
      <c r="F32" s="99">
        <f>IF(VLOOKUP(B32,'Citywide Standards'!E:AZ,13,FALSE)&lt;3.0001,VLOOKUP(B32,'Citywide Standards'!E:AZ,13,FALSE),"-")</f>
        <v>0</v>
      </c>
      <c r="G32" s="99">
        <f>IF(VLOOKUP(B32,'Citywide Standards'!E:AZ,17,FALSE)&lt;2.0001,VLOOKUP(B32,'Citywide Standards'!E:AZ,17,FALSE),"-")</f>
        <v>0</v>
      </c>
      <c r="H32" s="99">
        <f>VLOOKUP(B32,'Citywide Standards'!E:AZ,7,FALSE)</f>
        <v>1.5</v>
      </c>
      <c r="I32" s="99">
        <f>VLOOKUP(B32,'Citywide Standards'!E:AZ,14,FALSE)</f>
        <v>7.5</v>
      </c>
      <c r="J32" s="99">
        <f>VLOOKUP(B32,'Citywide Standards'!E:AZ,18,FALSE)</f>
        <v>3</v>
      </c>
      <c r="K32" s="88" t="str">
        <f>VLOOKUP(B32,'Citywide Standards'!E:AZ,22,FALSE)</f>
        <v>Yes</v>
      </c>
      <c r="L32" s="88" t="str">
        <f>VLOOKUP(B32,'Citywide Standards'!E:AZ,26,FALSE)</f>
        <v>Yes</v>
      </c>
      <c r="M32" s="88" t="str">
        <f>VLOOKUP(B32,'Citywide Standards'!E:AZ,27,FALSE)</f>
        <v>No</v>
      </c>
      <c r="N32" s="88" t="str">
        <f>VLOOKUP(B32,'Citywide Standards'!E:AZ,32,FALSE)</f>
        <v>Yes</v>
      </c>
    </row>
    <row r="33" spans="1:14" s="25" customFormat="1" x14ac:dyDescent="0.2">
      <c r="A33" s="165" t="s">
        <v>48</v>
      </c>
      <c r="B33" s="165" t="s">
        <v>113</v>
      </c>
      <c r="C33" s="165" t="str">
        <f>VLOOKUP(B33,'Citywide Standards'!E:G,2,FALSE)</f>
        <v>Urban Center</v>
      </c>
      <c r="D33" s="166">
        <f>VLOOKUP(B33,'Citywide Standards'!E:G,3,FALSE)</f>
        <v>1049187</v>
      </c>
      <c r="E33" s="99" t="str">
        <f>IF(VLOOKUP(B33,'Citywide Standards'!E:AZ,5,FALSE)&lt;1.0001,VLOOKUP(B33,'Citywide Standards'!E:AZ,5,FALSE),"-")</f>
        <v>-</v>
      </c>
      <c r="F33" s="99" t="str">
        <f>IF(VLOOKUP(B33,'Citywide Standards'!E:AZ,13,FALSE)&lt;3.0001,VLOOKUP(B33,'Citywide Standards'!E:AZ,13,FALSE),"-")</f>
        <v>-</v>
      </c>
      <c r="G33" s="99" t="str">
        <f>IF(VLOOKUP(B33,'Citywide Standards'!E:AZ,17,FALSE)&lt;2.0001,VLOOKUP(B33,'Citywide Standards'!E:AZ,17,FALSE),"-")</f>
        <v>-</v>
      </c>
      <c r="H33" s="99" t="str">
        <f>VLOOKUP(B33,'Citywide Standards'!E:AZ,7,FALSE)</f>
        <v xml:space="preserve"> -</v>
      </c>
      <c r="I33" s="99" t="str">
        <f>VLOOKUP(B33,'Citywide Standards'!E:AZ,14,FALSE)</f>
        <v xml:space="preserve"> -</v>
      </c>
      <c r="J33" s="99" t="str">
        <f>VLOOKUP(B33,'Citywide Standards'!E:AZ,18,FALSE)</f>
        <v xml:space="preserve"> -</v>
      </c>
      <c r="K33" s="88" t="str">
        <f>VLOOKUP(B33,'Citywide Standards'!E:AZ,22,FALSE)</f>
        <v>Yes</v>
      </c>
      <c r="L33" s="88" t="str">
        <f>VLOOKUP(B33,'Citywide Standards'!E:AZ,26,FALSE)</f>
        <v>Yes</v>
      </c>
      <c r="M33" s="88" t="str">
        <f>VLOOKUP(B33,'Citywide Standards'!E:AZ,27,FALSE)</f>
        <v>Yes</v>
      </c>
      <c r="N33" s="88" t="str">
        <f>VLOOKUP(B33,'Citywide Standards'!E:AZ,32,FALSE)</f>
        <v>Yes</v>
      </c>
    </row>
    <row r="34" spans="1:14" s="25" customFormat="1" x14ac:dyDescent="0.2">
      <c r="A34" s="165" t="s">
        <v>24</v>
      </c>
      <c r="B34" s="165" t="s">
        <v>24</v>
      </c>
      <c r="C34" s="165" t="str">
        <f>VLOOKUP(B34,'Citywide Standards'!E:G,2,FALSE)</f>
        <v>Core Suburb</v>
      </c>
      <c r="D34" s="166">
        <f>VLOOKUP(B34,'Citywide Standards'!E:G,3,FALSE)</f>
        <v>103087</v>
      </c>
      <c r="E34" s="99" t="str">
        <f>IF(VLOOKUP(B34,'Citywide Standards'!E:AZ,5,FALSE)&lt;1.0001,VLOOKUP(B34,'Citywide Standards'!E:AZ,5,FALSE),"-")</f>
        <v>-</v>
      </c>
      <c r="F34" s="99" t="str">
        <f>IF(VLOOKUP(B34,'Citywide Standards'!E:AZ,13,FALSE)&lt;3.0001,VLOOKUP(B34,'Citywide Standards'!E:AZ,13,FALSE),"-")</f>
        <v>-</v>
      </c>
      <c r="G34" s="99" t="str">
        <f>IF(VLOOKUP(B34,'Citywide Standards'!E:AZ,17,FALSE)&lt;2.0001,VLOOKUP(B34,'Citywide Standards'!E:AZ,17,FALSE),"-")</f>
        <v>-</v>
      </c>
      <c r="H34" s="99" t="str">
        <f>VLOOKUP(B34,'Citywide Standards'!E:AZ,7,FALSE)</f>
        <v xml:space="preserve"> -</v>
      </c>
      <c r="I34" s="99" t="str">
        <f>VLOOKUP(B34,'Citywide Standards'!E:AZ,14,FALSE)</f>
        <v xml:space="preserve"> -</v>
      </c>
      <c r="J34" s="99" t="str">
        <f>VLOOKUP(B34,'Citywide Standards'!E:AZ,18,FALSE)</f>
        <v xml:space="preserve"> -</v>
      </c>
      <c r="K34" s="88" t="str">
        <f>VLOOKUP(B34,'Citywide Standards'!E:AZ,22,FALSE)</f>
        <v>Yes</v>
      </c>
      <c r="L34" s="88" t="str">
        <f>VLOOKUP(B34,'Citywide Standards'!E:AZ,26,FALSE)</f>
        <v>Yes</v>
      </c>
      <c r="M34" s="88" t="str">
        <f>VLOOKUP(B34,'Citywide Standards'!E:AZ,27,FALSE)</f>
        <v>Yes</v>
      </c>
      <c r="N34" s="88" t="str">
        <f>VLOOKUP(B34,'Citywide Standards'!E:AZ,32,FALSE)</f>
        <v>No</v>
      </c>
    </row>
    <row r="35" spans="1:14" s="25" customFormat="1" x14ac:dyDescent="0.2">
      <c r="A35" s="165" t="s">
        <v>11</v>
      </c>
      <c r="B35" s="165" t="s">
        <v>102</v>
      </c>
      <c r="C35" s="165" t="str">
        <f>VLOOKUP(B35,'Citywide Standards'!E:G,2,FALSE)</f>
        <v>Urban Area</v>
      </c>
      <c r="D35" s="166">
        <f>VLOOKUP(B35,'Citywide Standards'!E:G,3,FALSE)</f>
        <v>59807</v>
      </c>
      <c r="E35" s="99" t="str">
        <f>IF(VLOOKUP(B35,'Citywide Standards'!E:AZ,5,FALSE)&lt;1.0001,VLOOKUP(B35,'Citywide Standards'!E:AZ,5,FALSE),"-")</f>
        <v>-</v>
      </c>
      <c r="F35" s="99" t="str">
        <f>IF(VLOOKUP(B35,'Citywide Standards'!E:AZ,13,FALSE)&lt;3.0001,VLOOKUP(B35,'Citywide Standards'!E:AZ,13,FALSE),"-")</f>
        <v>-</v>
      </c>
      <c r="G35" s="99" t="str">
        <f>IF(VLOOKUP(B35,'Citywide Standards'!E:AZ,17,FALSE)&lt;2.0001,VLOOKUP(B35,'Citywide Standards'!E:AZ,17,FALSE),"-")</f>
        <v>-</v>
      </c>
      <c r="H35" s="99" t="str">
        <f>VLOOKUP(B35,'Citywide Standards'!E:AZ,7,FALSE)</f>
        <v xml:space="preserve"> -</v>
      </c>
      <c r="I35" s="99" t="str">
        <f>VLOOKUP(B35,'Citywide Standards'!E:AZ,14,FALSE)</f>
        <v xml:space="preserve"> -</v>
      </c>
      <c r="J35" s="99" t="str">
        <f>VLOOKUP(B35,'Citywide Standards'!E:AZ,18,FALSE)</f>
        <v xml:space="preserve"> -</v>
      </c>
      <c r="K35" s="88" t="str">
        <f>VLOOKUP(B35,'Citywide Standards'!E:AZ,22,FALSE)</f>
        <v>Yes</v>
      </c>
      <c r="L35" s="88" t="str">
        <f>VLOOKUP(B35,'Citywide Standards'!E:AZ,26,FALSE)</f>
        <v>No</v>
      </c>
      <c r="M35" s="88" t="str">
        <f>VLOOKUP(B35,'Citywide Standards'!E:AZ,27,FALSE)</f>
        <v>No</v>
      </c>
      <c r="N35" s="88" t="str">
        <f>VLOOKUP(B35,'Citywide Standards'!E:AZ,32,FALSE)</f>
        <v>Yes</v>
      </c>
    </row>
    <row r="36" spans="1:14" s="25" customFormat="1" x14ac:dyDescent="0.2">
      <c r="A36" s="165" t="s">
        <v>42</v>
      </c>
      <c r="B36" s="165" t="s">
        <v>103</v>
      </c>
      <c r="C36" s="165" t="str">
        <f>VLOOKUP(B36,'Citywide Standards'!E:G,2,FALSE)</f>
        <v>Urban Area</v>
      </c>
      <c r="D36" s="166">
        <f>VLOOKUP(B36,'Citywide Standards'!E:G,3,FALSE)</f>
        <v>173628</v>
      </c>
      <c r="E36" s="99" t="str">
        <f>IF(VLOOKUP(B36,'Citywide Standards'!E:AZ,5,FALSE)&lt;1.0001,VLOOKUP(B36,'Citywide Standards'!E:AZ,5,FALSE),"-")</f>
        <v>-</v>
      </c>
      <c r="F36" s="99" t="str">
        <f>IF(VLOOKUP(B36,'Citywide Standards'!E:AZ,13,FALSE)&lt;3.0001,VLOOKUP(B36,'Citywide Standards'!E:AZ,13,FALSE),"-")</f>
        <v>-</v>
      </c>
      <c r="G36" s="99" t="str">
        <f>IF(VLOOKUP(B36,'Citywide Standards'!E:AZ,17,FALSE)&lt;2.0001,VLOOKUP(B36,'Citywide Standards'!E:AZ,17,FALSE),"-")</f>
        <v>-</v>
      </c>
      <c r="H36" s="99" t="str">
        <f>VLOOKUP(B36,'Citywide Standards'!E:AZ,7,FALSE)</f>
        <v xml:space="preserve"> -</v>
      </c>
      <c r="I36" s="99" t="str">
        <f>VLOOKUP(B36,'Citywide Standards'!E:AZ,14,FALSE)</f>
        <v xml:space="preserve">  -</v>
      </c>
      <c r="J36" s="99" t="str">
        <f>VLOOKUP(B36,'Citywide Standards'!E:AZ,18,FALSE)</f>
        <v xml:space="preserve"> -</v>
      </c>
      <c r="K36" s="88" t="str">
        <f>VLOOKUP(B36,'Citywide Standards'!E:AZ,22,FALSE)</f>
        <v>Yes</v>
      </c>
      <c r="L36" s="88" t="str">
        <f>VLOOKUP(B36,'Citywide Standards'!E:AZ,26,FALSE)</f>
        <v>Yes</v>
      </c>
      <c r="M36" s="88" t="str">
        <f>VLOOKUP(B36,'Citywide Standards'!E:AZ,27,FALSE)</f>
        <v>No</v>
      </c>
      <c r="N36" s="88" t="str">
        <f>VLOOKUP(B36,'Citywide Standards'!E:AZ,32,FALSE)</f>
        <v>Yes</v>
      </c>
    </row>
    <row r="37" spans="1:14" s="25" customFormat="1" x14ac:dyDescent="0.2">
      <c r="A37" s="165" t="s">
        <v>42</v>
      </c>
      <c r="B37" s="165" t="s">
        <v>85</v>
      </c>
      <c r="C37" s="165" t="str">
        <f>VLOOKUP(B37,'Citywide Standards'!E:G,2,FALSE)</f>
        <v>Outer Suburb</v>
      </c>
      <c r="D37" s="166">
        <f>VLOOKUP(B37,'Citywide Standards'!E:G,3,FALSE)</f>
        <v>7745</v>
      </c>
      <c r="E37" s="99" t="str">
        <f>IF(VLOOKUP(B37,'Citywide Standards'!E:AZ,5,FALSE)&lt;1.0001,VLOOKUP(B37,'Citywide Standards'!E:AZ,5,FALSE),"-")</f>
        <v>-</v>
      </c>
      <c r="F37" s="99" t="str">
        <f>IF(VLOOKUP(B37,'Citywide Standards'!E:AZ,13,FALSE)&lt;3.0001,VLOOKUP(B37,'Citywide Standards'!E:AZ,13,FALSE),"-")</f>
        <v>-</v>
      </c>
      <c r="G37" s="99" t="str">
        <f>IF(VLOOKUP(B37,'Citywide Standards'!E:AZ,17,FALSE)&lt;2.0001,VLOOKUP(B37,'Citywide Standards'!E:AZ,17,FALSE),"-")</f>
        <v>-</v>
      </c>
      <c r="H37" s="99" t="str">
        <f>VLOOKUP(B37,'Citywide Standards'!E:AZ,7,FALSE)</f>
        <v xml:space="preserve"> -</v>
      </c>
      <c r="I37" s="99" t="str">
        <f>VLOOKUP(B37,'Citywide Standards'!E:AZ,14,FALSE)</f>
        <v xml:space="preserve"> -</v>
      </c>
      <c r="J37" s="99" t="str">
        <f>VLOOKUP(B37,'Citywide Standards'!E:AZ,18,FALSE)</f>
        <v xml:space="preserve"> -</v>
      </c>
      <c r="K37" s="88" t="str">
        <f>VLOOKUP(B37,'Citywide Standards'!E:AZ,22,FALSE)</f>
        <v>Yes</v>
      </c>
      <c r="L37" s="88" t="str">
        <f>VLOOKUP(B37,'Citywide Standards'!E:AZ,26,FALSE)</f>
        <v>Yes</v>
      </c>
      <c r="M37" s="88" t="str">
        <f>VLOOKUP(B37,'Citywide Standards'!E:AZ,27,FALSE)</f>
        <v>Yes</v>
      </c>
      <c r="N37" s="88" t="str">
        <f>VLOOKUP(B37,'Citywide Standards'!E:AZ,32,FALSE)</f>
        <v>No</v>
      </c>
    </row>
    <row r="38" spans="1:14" s="25" customFormat="1" x14ac:dyDescent="0.2">
      <c r="A38" s="165" t="s">
        <v>24</v>
      </c>
      <c r="B38" s="165" t="s">
        <v>109</v>
      </c>
      <c r="C38" s="165" t="str">
        <f>VLOOKUP(B38,'Citywide Standards'!E:G,2,FALSE)</f>
        <v>Urban Area</v>
      </c>
      <c r="D38" s="166">
        <f>VLOOKUP(B38,'Citywide Standards'!E:G,3,FALSE)</f>
        <v>67879</v>
      </c>
      <c r="E38" s="99" t="str">
        <f>IF(VLOOKUP(B38,'Citywide Standards'!E:AZ,5,FALSE)&lt;1.0001,VLOOKUP(B38,'Citywide Standards'!E:AZ,5,FALSE),"-")</f>
        <v>-</v>
      </c>
      <c r="F38" s="99" t="str">
        <f>IF(VLOOKUP(B38,'Citywide Standards'!E:AZ,13,FALSE)&lt;3.0001,VLOOKUP(B38,'Citywide Standards'!E:AZ,13,FALSE),"-")</f>
        <v>-</v>
      </c>
      <c r="G38" s="99" t="str">
        <f>IF(VLOOKUP(B38,'Citywide Standards'!E:AZ,17,FALSE)&lt;2.0001,VLOOKUP(B38,'Citywide Standards'!E:AZ,17,FALSE),"-")</f>
        <v>-</v>
      </c>
      <c r="H38" s="99" t="str">
        <f>VLOOKUP(B38,'Citywide Standards'!E:AZ,7,FALSE)</f>
        <v>-</v>
      </c>
      <c r="I38" s="99" t="str">
        <f>VLOOKUP(B38,'Citywide Standards'!E:AZ,14,FALSE)</f>
        <v>-</v>
      </c>
      <c r="J38" s="99" t="str">
        <f>VLOOKUP(B38,'Citywide Standards'!E:AZ,18,FALSE)</f>
        <v>-</v>
      </c>
      <c r="K38" s="88" t="str">
        <f>VLOOKUP(B38,'Citywide Standards'!E:AZ,22,FALSE)</f>
        <v>Yes</v>
      </c>
      <c r="L38" s="88" t="str">
        <f>VLOOKUP(B38,'Citywide Standards'!E:AZ,26,FALSE)</f>
        <v>Yes</v>
      </c>
      <c r="M38" s="88" t="str">
        <f>VLOOKUP(B38,'Citywide Standards'!E:AZ,27,FALSE)</f>
        <v>No</v>
      </c>
      <c r="N38" s="88" t="str">
        <f>VLOOKUP(B38,'Citywide Standards'!E:AZ,32,FALSE)</f>
        <v>Yes</v>
      </c>
    </row>
    <row r="39" spans="1:14" s="25" customFormat="1" x14ac:dyDescent="0.2">
      <c r="A39" s="165" t="s">
        <v>48</v>
      </c>
      <c r="B39" s="165" t="s">
        <v>70</v>
      </c>
      <c r="C39" s="165" t="str">
        <f>VLOOKUP(B39,'Citywide Standards'!E:G,2,FALSE)</f>
        <v>Core Suburb</v>
      </c>
      <c r="D39" s="166">
        <f>VLOOKUP(B39,'Citywide Standards'!E:G,3,FALSE)</f>
        <v>156503</v>
      </c>
      <c r="E39" s="99" t="str">
        <f>IF(VLOOKUP(B39,'Citywide Standards'!E:AZ,5,FALSE)&lt;1.0001,VLOOKUP(B39,'Citywide Standards'!E:AZ,5,FALSE),"-")</f>
        <v>-</v>
      </c>
      <c r="F39" s="99" t="str">
        <f>IF(VLOOKUP(B39,'Citywide Standards'!E:AZ,13,FALSE)&lt;3.0001,VLOOKUP(B39,'Citywide Standards'!E:AZ,13,FALSE),"-")</f>
        <v>-</v>
      </c>
      <c r="G39" s="99" t="str">
        <f>IF(VLOOKUP(B39,'Citywide Standards'!E:AZ,17,FALSE)&lt;2.0001,VLOOKUP(B39,'Citywide Standards'!E:AZ,17,FALSE),"-")</f>
        <v>-</v>
      </c>
      <c r="H39" s="99">
        <f>VLOOKUP(B39,'Citywide Standards'!E:AZ,7,FALSE)</f>
        <v>2</v>
      </c>
      <c r="I39" s="99">
        <f>VLOOKUP(B39,'Citywide Standards'!E:AZ,14,FALSE)</f>
        <v>5</v>
      </c>
      <c r="J39" s="99">
        <f>VLOOKUP(B39,'Citywide Standards'!E:AZ,18,FALSE)</f>
        <v>4</v>
      </c>
      <c r="K39" s="88" t="str">
        <f>VLOOKUP(B39,'Citywide Standards'!E:AZ,22,FALSE)</f>
        <v>Yes</v>
      </c>
      <c r="L39" s="88" t="str">
        <f>VLOOKUP(B39,'Citywide Standards'!E:AZ,26,FALSE)</f>
        <v>No</v>
      </c>
      <c r="M39" s="88" t="str">
        <f>VLOOKUP(B39,'Citywide Standards'!E:AZ,27,FALSE)</f>
        <v>Yes</v>
      </c>
      <c r="N39" s="88" t="str">
        <f>VLOOKUP(B39,'Citywide Standards'!E:AZ,32,FALSE)</f>
        <v>No</v>
      </c>
    </row>
    <row r="40" spans="1:14" x14ac:dyDescent="0.2">
      <c r="A40" s="165" t="s">
        <v>45</v>
      </c>
      <c r="B40" s="165" t="s">
        <v>67</v>
      </c>
      <c r="C40" s="165" t="str">
        <f>VLOOKUP(B40,'Citywide Standards'!E:G,2,FALSE)</f>
        <v>Core Suburb</v>
      </c>
      <c r="D40" s="166">
        <f>VLOOKUP(B40,'Citywide Standards'!E:G,3,FALSE)</f>
        <v>119063</v>
      </c>
      <c r="E40" s="99" t="str">
        <f>IF(VLOOKUP(B40,'Citywide Standards'!E:AZ,5,FALSE)&lt;1.0001,VLOOKUP(B40,'Citywide Standards'!E:AZ,5,FALSE),"-")</f>
        <v>-</v>
      </c>
      <c r="F40" s="99" t="str">
        <f>IF(VLOOKUP(B40,'Citywide Standards'!E:AZ,13,FALSE)&lt;3.0001,VLOOKUP(B40,'Citywide Standards'!E:AZ,13,FALSE),"-")</f>
        <v>-</v>
      </c>
      <c r="G40" s="99" t="str">
        <f>IF(VLOOKUP(B40,'Citywide Standards'!E:AZ,17,FALSE)&lt;2.0001,VLOOKUP(B40,'Citywide Standards'!E:AZ,17,FALSE),"-")</f>
        <v>-</v>
      </c>
      <c r="H40" s="99" t="str">
        <f>VLOOKUP(B40,'Citywide Standards'!E:AZ,7,FALSE)</f>
        <v xml:space="preserve"> -</v>
      </c>
      <c r="I40" s="99" t="str">
        <f>VLOOKUP(B40,'Citywide Standards'!E:AZ,14,FALSE)</f>
        <v xml:space="preserve"> -</v>
      </c>
      <c r="J40" s="99" t="str">
        <f>VLOOKUP(B40,'Citywide Standards'!E:AZ,18,FALSE)</f>
        <v xml:space="preserve"> -</v>
      </c>
      <c r="K40" s="88" t="str">
        <f>VLOOKUP(B40,'Citywide Standards'!E:AZ,22,FALSE)</f>
        <v>Yes</v>
      </c>
      <c r="L40" s="88" t="str">
        <f>VLOOKUP(B40,'Citywide Standards'!E:AZ,26,FALSE)</f>
        <v>Yes</v>
      </c>
      <c r="M40" s="88" t="str">
        <f>VLOOKUP(B40,'Citywide Standards'!E:AZ,27,FALSE)</f>
        <v>No</v>
      </c>
      <c r="N40" s="88" t="str">
        <f>VLOOKUP(B40,'Citywide Standards'!E:AZ,32,FALSE)</f>
        <v>No</v>
      </c>
    </row>
    <row r="41" spans="1:14" x14ac:dyDescent="0.2">
      <c r="A41" s="165" t="s">
        <v>9</v>
      </c>
      <c r="B41" s="165" t="s">
        <v>101</v>
      </c>
      <c r="C41" s="165" t="str">
        <f>VLOOKUP(B41,'Citywide Standards'!E:G,2,FALSE)</f>
        <v>Urban Area</v>
      </c>
      <c r="D41" s="166">
        <f>VLOOKUP(B41,'Citywide Standards'!E:G,3,FALSE)</f>
        <v>70860</v>
      </c>
      <c r="E41" s="99" t="str">
        <f>IF(VLOOKUP(B41,'Citywide Standards'!E:AZ,5,FALSE)&lt;1.0001,VLOOKUP(B41,'Citywide Standards'!E:AZ,5,FALSE),"-")</f>
        <v>-</v>
      </c>
      <c r="F41" s="99" t="str">
        <f>IF(VLOOKUP(B41,'Citywide Standards'!E:AZ,13,FALSE)&lt;3.0001,VLOOKUP(B41,'Citywide Standards'!E:AZ,13,FALSE),"-")</f>
        <v>-</v>
      </c>
      <c r="G41" s="99" t="str">
        <f>IF(VLOOKUP(B41,'Citywide Standards'!E:AZ,17,FALSE)&lt;2.0001,VLOOKUP(B41,'Citywide Standards'!E:AZ,17,FALSE),"-")</f>
        <v>-</v>
      </c>
      <c r="H41" s="99" t="str">
        <f>VLOOKUP(B41,'Citywide Standards'!E:AZ,7,FALSE)</f>
        <v xml:space="preserve"> -</v>
      </c>
      <c r="I41" s="99" t="str">
        <f>VLOOKUP(B41,'Citywide Standards'!E:AZ,14,FALSE)</f>
        <v xml:space="preserve"> -</v>
      </c>
      <c r="J41" s="99" t="str">
        <f>VLOOKUP(B41,'Citywide Standards'!E:AZ,18,FALSE)</f>
        <v xml:space="preserve"> - </v>
      </c>
      <c r="K41" s="88" t="str">
        <f>VLOOKUP(B41,'Citywide Standards'!E:AZ,22,FALSE)</f>
        <v>Yes</v>
      </c>
      <c r="L41" s="88" t="str">
        <f>VLOOKUP(B41,'Citywide Standards'!E:AZ,26,FALSE)</f>
        <v>Yes</v>
      </c>
      <c r="M41" s="88" t="str">
        <f>VLOOKUP(B41,'Citywide Standards'!E:AZ,27,FALSE)</f>
        <v>No</v>
      </c>
      <c r="N41" s="88" t="str">
        <f>VLOOKUP(B41,'Citywide Standards'!E:AZ,32,FALSE)</f>
        <v>Yes</v>
      </c>
    </row>
    <row r="42" spans="1:14" x14ac:dyDescent="0.2">
      <c r="A42" s="165" t="s">
        <v>42</v>
      </c>
      <c r="B42" s="165" t="s">
        <v>96</v>
      </c>
      <c r="C42" s="165" t="str">
        <f>VLOOKUP(B42,'Citywide Standards'!E:G,2,FALSE)</f>
        <v>Outer Suburb</v>
      </c>
      <c r="D42" s="166">
        <f>VLOOKUP(B42,'Citywide Standards'!E:G,3,FALSE)</f>
        <v>28248</v>
      </c>
      <c r="E42" s="99" t="str">
        <f>IF(VLOOKUP(B42,'Citywide Standards'!E:AZ,5,FALSE)&lt;1.0001,VLOOKUP(B42,'Citywide Standards'!E:AZ,5,FALSE),"-")</f>
        <v>-</v>
      </c>
      <c r="F42" s="99" t="str">
        <f>IF(VLOOKUP(B42,'Citywide Standards'!E:AZ,13,FALSE)&lt;3.0001,VLOOKUP(B42,'Citywide Standards'!E:AZ,13,FALSE),"-")</f>
        <v>-</v>
      </c>
      <c r="G42" s="99" t="str">
        <f>IF(VLOOKUP(B42,'Citywide Standards'!E:AZ,17,FALSE)&lt;2.0001,VLOOKUP(B42,'Citywide Standards'!E:AZ,17,FALSE),"-")</f>
        <v>-</v>
      </c>
      <c r="H42" s="99" t="str">
        <f>VLOOKUP(B42,'Citywide Standards'!E:AZ,7,FALSE)</f>
        <v>-</v>
      </c>
      <c r="I42" s="99" t="str">
        <f>VLOOKUP(B42,'Citywide Standards'!E:AZ,14,FALSE)</f>
        <v>-</v>
      </c>
      <c r="J42" s="99" t="str">
        <f>VLOOKUP(B42,'Citywide Standards'!E:AZ,18,FALSE)</f>
        <v>-</v>
      </c>
      <c r="K42" s="88" t="str">
        <f>VLOOKUP(B42,'Citywide Standards'!E:AZ,22,FALSE)</f>
        <v>Yes</v>
      </c>
      <c r="L42" s="88" t="str">
        <f>VLOOKUP(B42,'Citywide Standards'!E:AZ,26,FALSE)</f>
        <v>No</v>
      </c>
      <c r="M42" s="88" t="str">
        <f>VLOOKUP(B42,'Citywide Standards'!E:AZ,27,FALSE)</f>
        <v>Yes</v>
      </c>
      <c r="N42" s="88" t="str">
        <f>VLOOKUP(B42,'Citywide Standards'!E:AZ,32,FALSE)</f>
        <v>No</v>
      </c>
    </row>
  </sheetData>
  <autoFilter ref="A2:N39" xr:uid="{9E8A37A2-6443-4DEE-B50A-53F42CE9769B}">
    <sortState xmlns:xlrd2="http://schemas.microsoft.com/office/spreadsheetml/2017/richdata2" ref="A3:N42">
      <sortCondition ref="B2:B39"/>
    </sortState>
  </autoFilter>
  <mergeCells count="3">
    <mergeCell ref="A1:D1"/>
    <mergeCell ref="E1:J1"/>
    <mergeCell ref="K1:N1"/>
  </mergeCells>
  <printOptions horizontalCentered="1"/>
  <pageMargins left="0.3" right="0.3" top="0.75" bottom="0.75" header="0.3" footer="0.3"/>
  <pageSetup scale="42" fitToWidth="0" fitToHeight="4" orientation="portrait" r:id="rId1"/>
  <headerFooter>
    <oddHeader>&amp;RBay Area Parking Standard Survey: Citywide
March 3, 2012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62"/>
  <sheetViews>
    <sheetView topLeftCell="B1" zoomScale="98" zoomScaleNormal="98" zoomScaleSheetLayoutView="82" workbookViewId="0">
      <pane xSplit="5" ySplit="2" topLeftCell="G3" activePane="bottomRight" state="frozen"/>
      <selection pane="topRight" activeCell="H1" sqref="H1"/>
      <selection pane="bottomLeft" activeCell="B3" sqref="B3"/>
      <selection pane="bottomRight" activeCell="E31" sqref="E31"/>
    </sheetView>
  </sheetViews>
  <sheetFormatPr defaultColWidth="8.85546875" defaultRowHeight="12.75" x14ac:dyDescent="0.2"/>
  <cols>
    <col min="1" max="1" width="10.7109375" style="9" bestFit="1" customWidth="1"/>
    <col min="2" max="2" width="13.5703125" style="17" customWidth="1"/>
    <col min="3" max="3" width="13" style="87" customWidth="1"/>
    <col min="4" max="4" width="13.5703125" style="23" customWidth="1"/>
    <col min="5" max="6" width="13" style="23" customWidth="1"/>
    <col min="7" max="7" width="13" style="154" customWidth="1"/>
    <col min="8" max="8" width="11.28515625" style="106" customWidth="1"/>
    <col min="9" max="9" width="10.85546875" style="106" customWidth="1"/>
    <col min="10" max="10" width="10.28515625" style="106" customWidth="1"/>
    <col min="11" max="11" width="10.7109375" style="106" customWidth="1"/>
    <col min="12" max="12" width="9.5703125" style="106" customWidth="1"/>
    <col min="13" max="13" width="13.42578125" style="22" customWidth="1"/>
    <col min="14" max="14" width="11.42578125" style="17" customWidth="1"/>
    <col min="15" max="15" width="29.42578125" style="22" customWidth="1"/>
    <col min="16" max="18" width="9.85546875" style="106" customWidth="1"/>
    <col min="19" max="19" width="26.28515625" style="20" customWidth="1"/>
    <col min="20" max="20" width="10.42578125" style="106" customWidth="1"/>
    <col min="21" max="21" width="11.140625" style="106" customWidth="1"/>
    <col min="22" max="22" width="9.85546875" style="106" customWidth="1"/>
    <col min="23" max="23" width="13.42578125" style="20" customWidth="1"/>
    <col min="24" max="24" width="11.140625" style="107" customWidth="1"/>
    <col min="25" max="25" width="23.28515625" style="22" customWidth="1"/>
    <col min="26" max="36" width="12.42578125" style="17" customWidth="1"/>
    <col min="37" max="37" width="12.42578125" style="18" customWidth="1"/>
    <col min="38" max="38" width="12.42578125" style="17" customWidth="1"/>
    <col min="39" max="41" width="12.5703125" style="17" customWidth="1"/>
    <col min="42" max="42" width="12.5703125" style="155" customWidth="1"/>
    <col min="43" max="43" width="12.5703125" style="17" customWidth="1"/>
    <col min="44" max="44" width="15.140625" style="19" customWidth="1"/>
    <col min="45" max="47" width="15.140625" style="17" customWidth="1"/>
    <col min="48" max="48" width="20.28515625" style="20" customWidth="1"/>
    <col min="49" max="49" width="38.140625" style="37" customWidth="1"/>
    <col min="50" max="52" width="14" style="20" customWidth="1"/>
    <col min="53" max="16384" width="8.85546875" style="9"/>
  </cols>
  <sheetData>
    <row r="1" spans="1:52" s="1" customFormat="1" ht="15" customHeight="1" x14ac:dyDescent="0.2">
      <c r="A1" s="57"/>
      <c r="B1" s="173" t="s">
        <v>114</v>
      </c>
      <c r="C1" s="174"/>
      <c r="D1" s="174"/>
      <c r="E1" s="174"/>
      <c r="F1" s="175"/>
      <c r="G1" s="151"/>
      <c r="H1" s="176" t="s">
        <v>126</v>
      </c>
      <c r="I1" s="176"/>
      <c r="J1" s="176"/>
      <c r="K1" s="176"/>
      <c r="L1" s="176"/>
      <c r="M1" s="176"/>
      <c r="N1" s="176"/>
      <c r="O1" s="176"/>
      <c r="P1" s="177" t="s">
        <v>127</v>
      </c>
      <c r="Q1" s="177"/>
      <c r="R1" s="177"/>
      <c r="S1" s="177"/>
      <c r="T1" s="182" t="s">
        <v>128</v>
      </c>
      <c r="U1" s="182"/>
      <c r="V1" s="182"/>
      <c r="W1" s="182"/>
      <c r="X1" s="183" t="s">
        <v>129</v>
      </c>
      <c r="Y1" s="183"/>
      <c r="Z1" s="184" t="s">
        <v>130</v>
      </c>
      <c r="AA1" s="184"/>
      <c r="AB1" s="184"/>
      <c r="AC1" s="184"/>
      <c r="AD1" s="184"/>
      <c r="AE1" s="184"/>
      <c r="AF1" s="184"/>
      <c r="AG1" s="184"/>
      <c r="AH1" s="184"/>
      <c r="AI1" s="184"/>
      <c r="AJ1" s="184"/>
      <c r="AK1" s="184"/>
      <c r="AL1" s="184"/>
      <c r="AM1" s="179" t="s">
        <v>131</v>
      </c>
      <c r="AN1" s="179"/>
      <c r="AO1" s="179"/>
      <c r="AP1" s="180"/>
      <c r="AQ1" s="179"/>
      <c r="AR1" s="181" t="s">
        <v>132</v>
      </c>
      <c r="AS1" s="181"/>
      <c r="AT1" s="181"/>
      <c r="AU1" s="181"/>
      <c r="AV1" s="178" t="s">
        <v>133</v>
      </c>
      <c r="AW1" s="178"/>
      <c r="AX1" s="178"/>
      <c r="AY1" s="178"/>
      <c r="AZ1" s="178"/>
    </row>
    <row r="2" spans="1:52" s="4" customFormat="1" ht="76.5" x14ac:dyDescent="0.2">
      <c r="A2" s="58" t="s">
        <v>0</v>
      </c>
      <c r="B2" s="59" t="s">
        <v>134</v>
      </c>
      <c r="C2" s="84" t="s">
        <v>135</v>
      </c>
      <c r="D2" s="59" t="s">
        <v>0</v>
      </c>
      <c r="E2" s="59" t="s">
        <v>1</v>
      </c>
      <c r="F2" s="59" t="s">
        <v>2</v>
      </c>
      <c r="G2" s="152" t="s">
        <v>3</v>
      </c>
      <c r="H2" s="112" t="s">
        <v>136</v>
      </c>
      <c r="I2" s="112" t="s">
        <v>137</v>
      </c>
      <c r="J2" s="112" t="s">
        <v>138</v>
      </c>
      <c r="K2" s="112" t="s">
        <v>139</v>
      </c>
      <c r="L2" s="112" t="s">
        <v>140</v>
      </c>
      <c r="M2" s="60" t="s">
        <v>141</v>
      </c>
      <c r="N2" s="60" t="s">
        <v>142</v>
      </c>
      <c r="O2" s="60" t="s">
        <v>143</v>
      </c>
      <c r="P2" s="114" t="s">
        <v>144</v>
      </c>
      <c r="Q2" s="114" t="s">
        <v>145</v>
      </c>
      <c r="R2" s="114" t="s">
        <v>146</v>
      </c>
      <c r="S2" s="61" t="s">
        <v>147</v>
      </c>
      <c r="T2" s="108" t="s">
        <v>144</v>
      </c>
      <c r="U2" s="108" t="s">
        <v>145</v>
      </c>
      <c r="V2" s="108" t="s">
        <v>146</v>
      </c>
      <c r="W2" s="62" t="s">
        <v>142</v>
      </c>
      <c r="X2" s="101" t="s">
        <v>148</v>
      </c>
      <c r="Y2" s="63" t="s">
        <v>142</v>
      </c>
      <c r="Z2" s="64" t="s">
        <v>149</v>
      </c>
      <c r="AA2" s="64" t="s">
        <v>150</v>
      </c>
      <c r="AB2" s="64" t="s">
        <v>151</v>
      </c>
      <c r="AC2" s="64" t="s">
        <v>152</v>
      </c>
      <c r="AD2" s="64" t="s">
        <v>153</v>
      </c>
      <c r="AE2" s="64" t="s">
        <v>124</v>
      </c>
      <c r="AF2" s="64" t="s">
        <v>154</v>
      </c>
      <c r="AG2" s="64" t="s">
        <v>155</v>
      </c>
      <c r="AH2" s="64" t="s">
        <v>156</v>
      </c>
      <c r="AI2" s="64" t="s">
        <v>157</v>
      </c>
      <c r="AJ2" s="64" t="s">
        <v>158</v>
      </c>
      <c r="AK2" s="64" t="s">
        <v>159</v>
      </c>
      <c r="AL2" s="65" t="s">
        <v>160</v>
      </c>
      <c r="AM2" s="66" t="s">
        <v>161</v>
      </c>
      <c r="AN2" s="66" t="s">
        <v>162</v>
      </c>
      <c r="AO2" s="66" t="s">
        <v>163</v>
      </c>
      <c r="AP2" s="157" t="s">
        <v>164</v>
      </c>
      <c r="AQ2" s="66" t="s">
        <v>446</v>
      </c>
      <c r="AR2" s="62" t="s">
        <v>165</v>
      </c>
      <c r="AS2" s="62" t="s">
        <v>166</v>
      </c>
      <c r="AT2" s="62" t="s">
        <v>167</v>
      </c>
      <c r="AU2" s="62" t="s">
        <v>168</v>
      </c>
      <c r="AV2" s="67" t="s">
        <v>169</v>
      </c>
      <c r="AW2" s="63" t="s">
        <v>170</v>
      </c>
      <c r="AX2" s="63" t="s">
        <v>171</v>
      </c>
      <c r="AY2" s="63" t="s">
        <v>172</v>
      </c>
      <c r="AZ2" s="63" t="s">
        <v>173</v>
      </c>
    </row>
    <row r="3" spans="1:52" s="5" customFormat="1" ht="49.5" customHeight="1" x14ac:dyDescent="0.2">
      <c r="A3" s="68" t="s">
        <v>9</v>
      </c>
      <c r="B3" s="69" t="s">
        <v>174</v>
      </c>
      <c r="C3" s="56">
        <v>44287</v>
      </c>
      <c r="D3" s="69" t="s">
        <v>4</v>
      </c>
      <c r="E3" s="71" t="s">
        <v>4</v>
      </c>
      <c r="F3" s="72" t="str">
        <f>VLOOKUP(E3,Population!B:D,2,FALSE)</f>
        <v>Urban Area</v>
      </c>
      <c r="G3" s="153">
        <f>VLOOKUP(E3,Population!B:D,3,FALSE)</f>
        <v>81312</v>
      </c>
      <c r="H3" s="99">
        <v>1</v>
      </c>
      <c r="I3" s="99">
        <v>3</v>
      </c>
      <c r="J3" s="99" t="s">
        <v>176</v>
      </c>
      <c r="K3" s="99">
        <v>2</v>
      </c>
      <c r="L3" s="99"/>
      <c r="M3" s="74" t="s">
        <v>176</v>
      </c>
      <c r="N3" s="73" t="s">
        <v>258</v>
      </c>
      <c r="O3" s="74" t="s">
        <v>259</v>
      </c>
      <c r="P3" s="116">
        <v>5</v>
      </c>
      <c r="Q3" s="115">
        <v>5</v>
      </c>
      <c r="R3" s="115" t="s">
        <v>176</v>
      </c>
      <c r="S3" s="77" t="s">
        <v>176</v>
      </c>
      <c r="T3" s="110">
        <v>4</v>
      </c>
      <c r="U3" s="109">
        <v>4</v>
      </c>
      <c r="V3" s="109" t="s">
        <v>176</v>
      </c>
      <c r="W3" s="96" t="s">
        <v>176</v>
      </c>
      <c r="X3" s="102">
        <v>1</v>
      </c>
      <c r="Y3" s="76" t="s">
        <v>260</v>
      </c>
      <c r="Z3" s="88" t="s">
        <v>174</v>
      </c>
      <c r="AA3" s="88" t="s">
        <v>182</v>
      </c>
      <c r="AB3" s="88" t="s">
        <v>182</v>
      </c>
      <c r="AC3" s="88" t="s">
        <v>174</v>
      </c>
      <c r="AD3" s="88" t="s">
        <v>174</v>
      </c>
      <c r="AE3" s="88" t="s">
        <v>174</v>
      </c>
      <c r="AF3" s="88" t="s">
        <v>182</v>
      </c>
      <c r="AG3" s="88" t="s">
        <v>182</v>
      </c>
      <c r="AH3" s="88" t="s">
        <v>174</v>
      </c>
      <c r="AI3" s="88" t="s">
        <v>174</v>
      </c>
      <c r="AJ3" s="88" t="s">
        <v>174</v>
      </c>
      <c r="AK3" s="88" t="s">
        <v>182</v>
      </c>
      <c r="AL3" s="88" t="s">
        <v>174</v>
      </c>
      <c r="AM3" s="92" t="s">
        <v>174</v>
      </c>
      <c r="AN3" s="92" t="s">
        <v>174</v>
      </c>
      <c r="AO3" s="92" t="s">
        <v>182</v>
      </c>
      <c r="AP3" s="92" t="s">
        <v>182</v>
      </c>
      <c r="AQ3" s="92" t="s">
        <v>174</v>
      </c>
      <c r="AR3" s="97" t="s">
        <v>174</v>
      </c>
      <c r="AS3" s="97" t="s">
        <v>174</v>
      </c>
      <c r="AT3" s="97" t="s">
        <v>182</v>
      </c>
      <c r="AU3" s="98" t="s">
        <v>174</v>
      </c>
      <c r="AV3" s="76" t="s">
        <v>174</v>
      </c>
      <c r="AW3" s="76" t="s">
        <v>261</v>
      </c>
      <c r="AX3" s="76" t="s">
        <v>182</v>
      </c>
      <c r="AY3" s="76" t="s">
        <v>174</v>
      </c>
      <c r="AZ3" s="76" t="s">
        <v>182</v>
      </c>
    </row>
    <row r="4" spans="1:52" s="5" customFormat="1" ht="49.5" customHeight="1" x14ac:dyDescent="0.2">
      <c r="A4" s="68" t="s">
        <v>24</v>
      </c>
      <c r="B4" s="69" t="s">
        <v>174</v>
      </c>
      <c r="C4" s="86"/>
      <c r="D4" s="69" t="s">
        <v>9</v>
      </c>
      <c r="E4" s="70" t="s">
        <v>78</v>
      </c>
      <c r="F4" s="72" t="str">
        <f>VLOOKUP(E4,Population!B:D,2,FALSE)</f>
        <v>Outer Suburb</v>
      </c>
      <c r="G4" s="153">
        <f>VLOOKUP(E4,Population!B:D,3,FALSE)</f>
        <v>112520</v>
      </c>
      <c r="H4" s="99">
        <v>1.5</v>
      </c>
      <c r="I4" s="99">
        <v>3</v>
      </c>
      <c r="J4" s="99">
        <v>1</v>
      </c>
      <c r="K4" s="99" t="s">
        <v>197</v>
      </c>
      <c r="L4" s="99">
        <v>0.2</v>
      </c>
      <c r="M4" s="74" t="s">
        <v>186</v>
      </c>
      <c r="N4" s="73" t="s">
        <v>249</v>
      </c>
      <c r="O4" s="74" t="s">
        <v>176</v>
      </c>
      <c r="P4" s="115">
        <v>5</v>
      </c>
      <c r="Q4" s="115">
        <v>5</v>
      </c>
      <c r="R4" s="115" t="s">
        <v>176</v>
      </c>
      <c r="S4" s="75" t="s">
        <v>197</v>
      </c>
      <c r="T4" s="109">
        <v>4</v>
      </c>
      <c r="U4" s="109">
        <v>5</v>
      </c>
      <c r="V4" s="109" t="s">
        <v>197</v>
      </c>
      <c r="W4" s="95" t="s">
        <v>311</v>
      </c>
      <c r="X4" s="103" t="s">
        <v>197</v>
      </c>
      <c r="Y4" s="79" t="s">
        <v>197</v>
      </c>
      <c r="Z4" s="88" t="s">
        <v>174</v>
      </c>
      <c r="AA4" s="88"/>
      <c r="AB4" s="88" t="s">
        <v>182</v>
      </c>
      <c r="AC4" s="88" t="s">
        <v>174</v>
      </c>
      <c r="AD4" s="88" t="s">
        <v>182</v>
      </c>
      <c r="AE4" s="88"/>
      <c r="AF4" s="88" t="s">
        <v>182</v>
      </c>
      <c r="AG4" s="88" t="s">
        <v>182</v>
      </c>
      <c r="AH4" s="88" t="s">
        <v>174</v>
      </c>
      <c r="AI4" s="88" t="s">
        <v>174</v>
      </c>
      <c r="AJ4" s="88" t="s">
        <v>182</v>
      </c>
      <c r="AK4" s="88" t="s">
        <v>182</v>
      </c>
      <c r="AL4" s="88" t="s">
        <v>182</v>
      </c>
      <c r="AM4" s="92"/>
      <c r="AN4" s="92"/>
      <c r="AO4" s="92"/>
      <c r="AP4" s="92" t="s">
        <v>182</v>
      </c>
      <c r="AQ4" s="92"/>
      <c r="AR4" s="97"/>
      <c r="AS4" s="97"/>
      <c r="AT4" s="97"/>
      <c r="AU4" s="97"/>
      <c r="AV4" s="76" t="s">
        <v>174</v>
      </c>
      <c r="AW4" s="76" t="s">
        <v>312</v>
      </c>
      <c r="AX4" s="76" t="s">
        <v>182</v>
      </c>
      <c r="AY4" s="76" t="s">
        <v>182</v>
      </c>
      <c r="AZ4" s="76" t="s">
        <v>182</v>
      </c>
    </row>
    <row r="5" spans="1:52" s="5" customFormat="1" ht="49.5" customHeight="1" x14ac:dyDescent="0.2">
      <c r="A5" s="68" t="s">
        <v>48</v>
      </c>
      <c r="B5" s="69" t="s">
        <v>182</v>
      </c>
      <c r="C5" s="55">
        <v>44301</v>
      </c>
      <c r="D5" s="69" t="s">
        <v>24</v>
      </c>
      <c r="E5" s="71" t="s">
        <v>72</v>
      </c>
      <c r="F5" s="81" t="str">
        <f>VLOOKUP(E5,Population!B:D,2,FALSE)</f>
        <v>Core Suburb</v>
      </c>
      <c r="G5" s="153">
        <f>VLOOKUP(E5,Population!B:D,3,FALSE)</f>
        <v>26813</v>
      </c>
      <c r="H5" s="99">
        <v>1</v>
      </c>
      <c r="I5" s="99">
        <v>4</v>
      </c>
      <c r="J5" s="99">
        <v>2</v>
      </c>
      <c r="K5" s="99" t="s">
        <v>175</v>
      </c>
      <c r="L5" s="99" t="s">
        <v>175</v>
      </c>
      <c r="M5" s="74" t="s">
        <v>175</v>
      </c>
      <c r="N5" s="73" t="s">
        <v>184</v>
      </c>
      <c r="O5" s="74"/>
      <c r="P5" s="115">
        <v>4</v>
      </c>
      <c r="Q5" s="115">
        <v>4</v>
      </c>
      <c r="R5" s="115" t="s">
        <v>175</v>
      </c>
      <c r="S5" s="77" t="s">
        <v>221</v>
      </c>
      <c r="T5" s="109">
        <v>4</v>
      </c>
      <c r="U5" s="109">
        <v>4</v>
      </c>
      <c r="V5" s="109" t="s">
        <v>175</v>
      </c>
      <c r="W5" s="96" t="s">
        <v>175</v>
      </c>
      <c r="X5" s="104">
        <v>3.33</v>
      </c>
      <c r="Y5" s="76" t="s">
        <v>222</v>
      </c>
      <c r="Z5" s="88" t="s">
        <v>174</v>
      </c>
      <c r="AA5" s="88" t="s">
        <v>182</v>
      </c>
      <c r="AB5" s="88" t="s">
        <v>182</v>
      </c>
      <c r="AC5" s="88" t="s">
        <v>174</v>
      </c>
      <c r="AD5" s="88" t="s">
        <v>174</v>
      </c>
      <c r="AE5" s="88" t="s">
        <v>182</v>
      </c>
      <c r="AF5" s="88" t="s">
        <v>174</v>
      </c>
      <c r="AG5" s="88" t="s">
        <v>182</v>
      </c>
      <c r="AH5" s="88" t="s">
        <v>182</v>
      </c>
      <c r="AI5" s="88" t="s">
        <v>182</v>
      </c>
      <c r="AJ5" s="88" t="s">
        <v>174</v>
      </c>
      <c r="AK5" s="88" t="s">
        <v>174</v>
      </c>
      <c r="AL5" s="88" t="s">
        <v>174</v>
      </c>
      <c r="AM5" s="92" t="s">
        <v>223</v>
      </c>
      <c r="AN5" s="92" t="s">
        <v>182</v>
      </c>
      <c r="AO5" s="92" t="s">
        <v>182</v>
      </c>
      <c r="AP5" s="92" t="s">
        <v>182</v>
      </c>
      <c r="AQ5" s="92" t="s">
        <v>182</v>
      </c>
      <c r="AR5" s="97" t="s">
        <v>174</v>
      </c>
      <c r="AS5" s="97" t="s">
        <v>182</v>
      </c>
      <c r="AT5" s="97" t="s">
        <v>174</v>
      </c>
      <c r="AU5" s="97" t="s">
        <v>182</v>
      </c>
      <c r="AV5" s="76" t="s">
        <v>182</v>
      </c>
      <c r="AW5" s="76" t="s">
        <v>175</v>
      </c>
      <c r="AX5" s="76" t="s">
        <v>182</v>
      </c>
      <c r="AY5" s="76" t="s">
        <v>182</v>
      </c>
      <c r="AZ5" s="76" t="s">
        <v>182</v>
      </c>
    </row>
    <row r="6" spans="1:52" s="5" customFormat="1" ht="49.5" customHeight="1" x14ac:dyDescent="0.2">
      <c r="A6" s="68" t="s">
        <v>4</v>
      </c>
      <c r="B6" s="69" t="s">
        <v>174</v>
      </c>
      <c r="C6" s="56">
        <v>44271</v>
      </c>
      <c r="D6" s="69" t="s">
        <v>45</v>
      </c>
      <c r="E6" s="71" t="s">
        <v>86</v>
      </c>
      <c r="F6" s="72" t="str">
        <f>VLOOKUP(E6,Population!B:D,2,FALSE)</f>
        <v>Outer Suburb</v>
      </c>
      <c r="G6" s="153">
        <f>VLOOKUP(E6,Population!B:D,3,FALSE)</f>
        <v>27175</v>
      </c>
      <c r="H6" s="99">
        <v>1.2</v>
      </c>
      <c r="I6" s="99">
        <v>2</v>
      </c>
      <c r="J6" s="99">
        <v>1</v>
      </c>
      <c r="K6" s="99" t="s">
        <v>176</v>
      </c>
      <c r="L6" s="99" t="s">
        <v>176</v>
      </c>
      <c r="M6" s="74" t="s">
        <v>176</v>
      </c>
      <c r="N6" s="73" t="s">
        <v>187</v>
      </c>
      <c r="O6" s="74" t="s">
        <v>176</v>
      </c>
      <c r="P6" s="116">
        <f>1/1000*1000</f>
        <v>1</v>
      </c>
      <c r="Q6" s="115">
        <f>1/200*1000</f>
        <v>5</v>
      </c>
      <c r="R6" s="115" t="s">
        <v>176</v>
      </c>
      <c r="S6" s="77" t="s">
        <v>176</v>
      </c>
      <c r="T6" s="110">
        <f>1/300*1000</f>
        <v>3.3333333333333335</v>
      </c>
      <c r="U6" s="109">
        <f>1/200*1000</f>
        <v>5</v>
      </c>
      <c r="V6" s="109" t="s">
        <v>176</v>
      </c>
      <c r="W6" s="96" t="s">
        <v>176</v>
      </c>
      <c r="X6" s="102" t="s">
        <v>300</v>
      </c>
      <c r="Y6" s="76" t="s">
        <v>301</v>
      </c>
      <c r="Z6" s="88" t="s">
        <v>174</v>
      </c>
      <c r="AA6" s="88" t="s">
        <v>182</v>
      </c>
      <c r="AB6" s="88" t="s">
        <v>174</v>
      </c>
      <c r="AC6" s="88" t="s">
        <v>174</v>
      </c>
      <c r="AD6" s="88" t="s">
        <v>182</v>
      </c>
      <c r="AE6" s="88" t="s">
        <v>182</v>
      </c>
      <c r="AF6" s="88" t="s">
        <v>174</v>
      </c>
      <c r="AG6" s="88" t="s">
        <v>174</v>
      </c>
      <c r="AH6" s="88" t="s">
        <v>174</v>
      </c>
      <c r="AI6" s="88" t="s">
        <v>174</v>
      </c>
      <c r="AJ6" s="88" t="s">
        <v>174</v>
      </c>
      <c r="AK6" s="88" t="s">
        <v>174</v>
      </c>
      <c r="AL6" s="88" t="s">
        <v>174</v>
      </c>
      <c r="AM6" s="92" t="s">
        <v>182</v>
      </c>
      <c r="AN6" s="92" t="s">
        <v>182</v>
      </c>
      <c r="AO6" s="92" t="s">
        <v>182</v>
      </c>
      <c r="AP6" s="92" t="s">
        <v>182</v>
      </c>
      <c r="AQ6" s="92" t="s">
        <v>182</v>
      </c>
      <c r="AR6" s="97" t="s">
        <v>182</v>
      </c>
      <c r="AS6" s="97" t="s">
        <v>182</v>
      </c>
      <c r="AT6" s="97" t="s">
        <v>182</v>
      </c>
      <c r="AU6" s="98" t="s">
        <v>182</v>
      </c>
      <c r="AV6" s="76" t="s">
        <v>174</v>
      </c>
      <c r="AW6" s="76" t="s">
        <v>302</v>
      </c>
      <c r="AX6" s="76" t="s">
        <v>182</v>
      </c>
      <c r="AY6" s="76" t="s">
        <v>182</v>
      </c>
      <c r="AZ6" s="76" t="s">
        <v>182</v>
      </c>
    </row>
    <row r="7" spans="1:52" s="5" customFormat="1" ht="49.5" customHeight="1" x14ac:dyDescent="0.2">
      <c r="A7" s="68" t="s">
        <v>48</v>
      </c>
      <c r="B7" s="69" t="s">
        <v>182</v>
      </c>
      <c r="C7" s="56">
        <v>44290</v>
      </c>
      <c r="D7" s="69" t="s">
        <v>4</v>
      </c>
      <c r="E7" s="71" t="s">
        <v>108</v>
      </c>
      <c r="F7" s="72" t="str">
        <f>VLOOKUP(E7,Population!B:D,2,FALSE)</f>
        <v>Urban Area</v>
      </c>
      <c r="G7" s="153">
        <f>VLOOKUP(E7,Population!B:D,3,FALSE)</f>
        <v>122580</v>
      </c>
      <c r="H7" s="99">
        <v>0</v>
      </c>
      <c r="I7" s="99">
        <v>1</v>
      </c>
      <c r="J7" s="99" t="s">
        <v>175</v>
      </c>
      <c r="K7" s="99" t="s">
        <v>175</v>
      </c>
      <c r="L7" s="99" t="s">
        <v>175</v>
      </c>
      <c r="M7" s="74" t="s">
        <v>175</v>
      </c>
      <c r="N7" s="73" t="s">
        <v>184</v>
      </c>
      <c r="O7" s="74" t="s">
        <v>175</v>
      </c>
      <c r="P7" s="116" t="s">
        <v>175</v>
      </c>
      <c r="Q7" s="115" t="s">
        <v>175</v>
      </c>
      <c r="R7" s="115">
        <v>4</v>
      </c>
      <c r="S7" s="77" t="s">
        <v>175</v>
      </c>
      <c r="T7" s="110">
        <f>1/300*1000</f>
        <v>3.3333333333333335</v>
      </c>
      <c r="U7" s="109">
        <v>3</v>
      </c>
      <c r="V7" s="109" t="s">
        <v>175</v>
      </c>
      <c r="W7" s="96"/>
      <c r="X7" s="102" t="s">
        <v>175</v>
      </c>
      <c r="Y7" s="76" t="s">
        <v>185</v>
      </c>
      <c r="Z7" s="88" t="s">
        <v>174</v>
      </c>
      <c r="AA7" s="88" t="s">
        <v>182</v>
      </c>
      <c r="AB7" s="88" t="s">
        <v>174</v>
      </c>
      <c r="AC7" s="88" t="s">
        <v>174</v>
      </c>
      <c r="AD7" s="88" t="s">
        <v>174</v>
      </c>
      <c r="AE7" s="88" t="s">
        <v>182</v>
      </c>
      <c r="AF7" s="88" t="s">
        <v>174</v>
      </c>
      <c r="AG7" s="88" t="s">
        <v>174</v>
      </c>
      <c r="AH7" s="88" t="s">
        <v>174</v>
      </c>
      <c r="AI7" s="88" t="s">
        <v>182</v>
      </c>
      <c r="AJ7" s="88" t="s">
        <v>182</v>
      </c>
      <c r="AK7" s="88" t="s">
        <v>174</v>
      </c>
      <c r="AL7" s="88" t="s">
        <v>174</v>
      </c>
      <c r="AM7" s="92" t="s">
        <v>174</v>
      </c>
      <c r="AN7" s="92" t="s">
        <v>174</v>
      </c>
      <c r="AO7" s="92" t="s">
        <v>174</v>
      </c>
      <c r="AP7" s="92" t="s">
        <v>182</v>
      </c>
      <c r="AQ7" s="92" t="s">
        <v>174</v>
      </c>
      <c r="AR7" s="97" t="s">
        <v>174</v>
      </c>
      <c r="AS7" s="97" t="s">
        <v>174</v>
      </c>
      <c r="AT7" s="97" t="s">
        <v>182</v>
      </c>
      <c r="AU7" s="97" t="s">
        <v>174</v>
      </c>
      <c r="AV7" s="76" t="s">
        <v>174</v>
      </c>
      <c r="AW7" s="76" t="s">
        <v>175</v>
      </c>
      <c r="AX7" s="76" t="s">
        <v>182</v>
      </c>
      <c r="AY7" s="76" t="s">
        <v>182</v>
      </c>
      <c r="AZ7" s="76" t="s">
        <v>174</v>
      </c>
    </row>
    <row r="8" spans="1:52" s="5" customFormat="1" ht="49.5" customHeight="1" x14ac:dyDescent="0.2">
      <c r="A8" s="68" t="s">
        <v>48</v>
      </c>
      <c r="B8" s="69" t="s">
        <v>174</v>
      </c>
      <c r="C8" s="55">
        <v>44286</v>
      </c>
      <c r="D8" s="69" t="s">
        <v>24</v>
      </c>
      <c r="E8" s="71" t="s">
        <v>60</v>
      </c>
      <c r="F8" s="72" t="str">
        <f>VLOOKUP(E8,Population!B:D,2,FALSE)</f>
        <v>Core Suburb</v>
      </c>
      <c r="G8" s="153">
        <f>VLOOKUP(E8,Population!B:D,3,FALSE)</f>
        <v>4633</v>
      </c>
      <c r="H8" s="99">
        <v>1</v>
      </c>
      <c r="I8" s="99">
        <v>4</v>
      </c>
      <c r="J8" s="99" t="s">
        <v>196</v>
      </c>
      <c r="K8" s="99" t="s">
        <v>176</v>
      </c>
      <c r="L8" s="99">
        <f>1/5</f>
        <v>0.2</v>
      </c>
      <c r="M8" s="74" t="s">
        <v>239</v>
      </c>
      <c r="N8" s="73" t="s">
        <v>240</v>
      </c>
      <c r="O8" s="74" t="s">
        <v>176</v>
      </c>
      <c r="P8" s="115">
        <f>1/300*1000</f>
        <v>3.3333333333333335</v>
      </c>
      <c r="Q8" s="115">
        <f>1/300*1000</f>
        <v>3.3333333333333335</v>
      </c>
      <c r="R8" s="115" t="s">
        <v>176</v>
      </c>
      <c r="S8" s="77" t="s">
        <v>176</v>
      </c>
      <c r="T8" s="109">
        <f>1/300*1000</f>
        <v>3.3333333333333335</v>
      </c>
      <c r="U8" s="109">
        <f>1/200*1000</f>
        <v>5</v>
      </c>
      <c r="V8" s="109" t="s">
        <v>176</v>
      </c>
      <c r="W8" s="96" t="s">
        <v>176</v>
      </c>
      <c r="X8" s="102" t="s">
        <v>176</v>
      </c>
      <c r="Y8" s="76" t="s">
        <v>176</v>
      </c>
      <c r="Z8" s="88" t="s">
        <v>182</v>
      </c>
      <c r="AA8" s="88" t="s">
        <v>182</v>
      </c>
      <c r="AB8" s="88" t="s">
        <v>174</v>
      </c>
      <c r="AC8" s="88" t="s">
        <v>174</v>
      </c>
      <c r="AD8" s="88" t="s">
        <v>182</v>
      </c>
      <c r="AE8" s="88" t="s">
        <v>174</v>
      </c>
      <c r="AF8" s="88" t="s">
        <v>174</v>
      </c>
      <c r="AG8" s="88" t="s">
        <v>174</v>
      </c>
      <c r="AH8" s="88" t="s">
        <v>182</v>
      </c>
      <c r="AI8" s="88" t="s">
        <v>174</v>
      </c>
      <c r="AJ8" s="88" t="s">
        <v>182</v>
      </c>
      <c r="AK8" s="88" t="s">
        <v>182</v>
      </c>
      <c r="AL8" s="88" t="s">
        <v>174</v>
      </c>
      <c r="AM8" s="92" t="s">
        <v>174</v>
      </c>
      <c r="AN8" s="92" t="s">
        <v>174</v>
      </c>
      <c r="AO8" s="92" t="s">
        <v>182</v>
      </c>
      <c r="AP8" s="92" t="s">
        <v>182</v>
      </c>
      <c r="AQ8" s="92" t="s">
        <v>174</v>
      </c>
      <c r="AR8" s="97" t="s">
        <v>174</v>
      </c>
      <c r="AS8" s="97" t="s">
        <v>174</v>
      </c>
      <c r="AT8" s="97" t="s">
        <v>182</v>
      </c>
      <c r="AU8" s="97" t="s">
        <v>182</v>
      </c>
      <c r="AV8" s="76" t="s">
        <v>174</v>
      </c>
      <c r="AW8" s="76" t="s">
        <v>241</v>
      </c>
      <c r="AX8" s="76" t="s">
        <v>174</v>
      </c>
      <c r="AY8" s="76" t="s">
        <v>182</v>
      </c>
      <c r="AZ8" s="76" t="s">
        <v>174</v>
      </c>
    </row>
    <row r="9" spans="1:52" s="5" customFormat="1" ht="49.5" customHeight="1" x14ac:dyDescent="0.2">
      <c r="A9" s="68" t="s">
        <v>9</v>
      </c>
      <c r="B9" s="69" t="s">
        <v>182</v>
      </c>
      <c r="C9" s="55">
        <v>44234</v>
      </c>
      <c r="D9" s="69" t="s">
        <v>24</v>
      </c>
      <c r="E9" s="71" t="s">
        <v>73</v>
      </c>
      <c r="F9" s="72" t="str">
        <f>VLOOKUP(E9,Population!B:D,2,FALSE)</f>
        <v>Core Suburb</v>
      </c>
      <c r="G9" s="153">
        <f>VLOOKUP(E9,Population!B:D,3,FALSE)</f>
        <v>30118</v>
      </c>
      <c r="H9" s="99">
        <v>1</v>
      </c>
      <c r="I9" s="99">
        <v>2</v>
      </c>
      <c r="J9" s="99" t="s">
        <v>175</v>
      </c>
      <c r="K9" s="99" t="s">
        <v>175</v>
      </c>
      <c r="L9" s="99">
        <v>0</v>
      </c>
      <c r="M9" s="74" t="s">
        <v>175</v>
      </c>
      <c r="N9" s="73" t="s">
        <v>187</v>
      </c>
      <c r="O9" s="74" t="s">
        <v>176</v>
      </c>
      <c r="P9" s="115">
        <f>1/1000*1000</f>
        <v>1</v>
      </c>
      <c r="Q9" s="115">
        <f>1/400*1000</f>
        <v>2.5</v>
      </c>
      <c r="R9" s="115" t="s">
        <v>175</v>
      </c>
      <c r="S9" s="77" t="s">
        <v>176</v>
      </c>
      <c r="T9" s="109">
        <f>1/300*1000</f>
        <v>3.3333333333333335</v>
      </c>
      <c r="U9" s="109">
        <f>1/250*1000</f>
        <v>4</v>
      </c>
      <c r="V9" s="109" t="s">
        <v>175</v>
      </c>
      <c r="W9" s="96" t="s">
        <v>175</v>
      </c>
      <c r="X9" s="102" t="s">
        <v>175</v>
      </c>
      <c r="Y9" s="76" t="s">
        <v>219</v>
      </c>
      <c r="Z9" s="88" t="s">
        <v>182</v>
      </c>
      <c r="AA9" s="88" t="s">
        <v>182</v>
      </c>
      <c r="AB9" s="88" t="s">
        <v>182</v>
      </c>
      <c r="AC9" s="88" t="s">
        <v>174</v>
      </c>
      <c r="AD9" s="88" t="s">
        <v>174</v>
      </c>
      <c r="AE9" s="88" t="s">
        <v>182</v>
      </c>
      <c r="AF9" s="88" t="s">
        <v>182</v>
      </c>
      <c r="AG9" s="88" t="s">
        <v>182</v>
      </c>
      <c r="AH9" s="88" t="s">
        <v>182</v>
      </c>
      <c r="AI9" s="88" t="s">
        <v>174</v>
      </c>
      <c r="AJ9" s="88" t="s">
        <v>182</v>
      </c>
      <c r="AK9" s="88" t="s">
        <v>182</v>
      </c>
      <c r="AL9" s="88" t="s">
        <v>174</v>
      </c>
      <c r="AM9" s="92" t="s">
        <v>174</v>
      </c>
      <c r="AN9" s="92" t="s">
        <v>174</v>
      </c>
      <c r="AO9" s="92" t="s">
        <v>182</v>
      </c>
      <c r="AP9" s="92" t="s">
        <v>182</v>
      </c>
      <c r="AQ9" s="92" t="s">
        <v>174</v>
      </c>
      <c r="AR9" s="97" t="s">
        <v>174</v>
      </c>
      <c r="AS9" s="97" t="s">
        <v>174</v>
      </c>
      <c r="AT9" s="97" t="s">
        <v>174</v>
      </c>
      <c r="AU9" s="97" t="s">
        <v>182</v>
      </c>
      <c r="AV9" s="76" t="s">
        <v>174</v>
      </c>
      <c r="AW9" s="76" t="s">
        <v>220</v>
      </c>
      <c r="AX9" s="76" t="s">
        <v>182</v>
      </c>
      <c r="AY9" s="76" t="s">
        <v>182</v>
      </c>
      <c r="AZ9" s="76" t="s">
        <v>182</v>
      </c>
    </row>
    <row r="10" spans="1:52" s="6" customFormat="1" ht="49.5" customHeight="1" x14ac:dyDescent="0.2">
      <c r="A10" s="68" t="s">
        <v>27</v>
      </c>
      <c r="B10" s="69" t="s">
        <v>174</v>
      </c>
      <c r="C10" s="85"/>
      <c r="D10" s="69" t="s">
        <v>48</v>
      </c>
      <c r="E10" s="69" t="s">
        <v>90</v>
      </c>
      <c r="F10" s="72" t="str">
        <f>VLOOKUP(E10,Population!B:D,2,FALSE)</f>
        <v>Outer Suburb</v>
      </c>
      <c r="G10" s="153">
        <f>VLOOKUP(E10,Population!B:D,3,FALSE)</f>
        <v>42288</v>
      </c>
      <c r="H10" s="99">
        <v>1.5</v>
      </c>
      <c r="I10" s="99">
        <v>3.5</v>
      </c>
      <c r="J10" s="99">
        <v>1</v>
      </c>
      <c r="K10" s="99" t="s">
        <v>176</v>
      </c>
      <c r="L10" s="99">
        <v>0.2</v>
      </c>
      <c r="M10" s="74" t="s">
        <v>186</v>
      </c>
      <c r="N10" s="73" t="s">
        <v>245</v>
      </c>
      <c r="O10" s="74" t="s">
        <v>176</v>
      </c>
      <c r="P10" s="115">
        <v>4</v>
      </c>
      <c r="Q10" s="115">
        <v>5</v>
      </c>
      <c r="R10" s="115" t="s">
        <v>176</v>
      </c>
      <c r="S10" s="75" t="s">
        <v>246</v>
      </c>
      <c r="T10" s="109">
        <v>4.4400000000000004</v>
      </c>
      <c r="U10" s="109">
        <v>5</v>
      </c>
      <c r="V10" s="109" t="s">
        <v>176</v>
      </c>
      <c r="W10" s="95" t="s">
        <v>230</v>
      </c>
      <c r="X10" s="103" t="s">
        <v>176</v>
      </c>
      <c r="Y10" s="79" t="s">
        <v>176</v>
      </c>
      <c r="Z10" s="88" t="s">
        <v>174</v>
      </c>
      <c r="AA10" s="88"/>
      <c r="AB10" s="90" t="s">
        <v>174</v>
      </c>
      <c r="AC10" s="88" t="s">
        <v>174</v>
      </c>
      <c r="AD10" s="88" t="s">
        <v>174</v>
      </c>
      <c r="AE10" s="88"/>
      <c r="AF10" s="88" t="s">
        <v>182</v>
      </c>
      <c r="AG10" s="88" t="s">
        <v>182</v>
      </c>
      <c r="AH10" s="88" t="s">
        <v>182</v>
      </c>
      <c r="AI10" s="88" t="s">
        <v>174</v>
      </c>
      <c r="AJ10" s="88" t="s">
        <v>182</v>
      </c>
      <c r="AK10" s="88" t="s">
        <v>182</v>
      </c>
      <c r="AL10" s="88" t="s">
        <v>182</v>
      </c>
      <c r="AM10" s="92"/>
      <c r="AN10" s="92"/>
      <c r="AO10" s="92"/>
      <c r="AP10" s="92" t="s">
        <v>182</v>
      </c>
      <c r="AQ10" s="92"/>
      <c r="AR10" s="97"/>
      <c r="AS10" s="97"/>
      <c r="AT10" s="97"/>
      <c r="AU10" s="97"/>
      <c r="AV10" s="76" t="s">
        <v>174</v>
      </c>
      <c r="AW10" s="76" t="s">
        <v>247</v>
      </c>
      <c r="AX10" s="76" t="s">
        <v>174</v>
      </c>
      <c r="AY10" s="76" t="s">
        <v>174</v>
      </c>
      <c r="AZ10" s="76" t="s">
        <v>182</v>
      </c>
    </row>
    <row r="11" spans="1:52" s="5" customFormat="1" ht="49.5" customHeight="1" x14ac:dyDescent="0.2">
      <c r="A11" s="68" t="s">
        <v>24</v>
      </c>
      <c r="B11" s="69" t="s">
        <v>174</v>
      </c>
      <c r="C11" s="85"/>
      <c r="D11" s="69" t="s">
        <v>42</v>
      </c>
      <c r="E11" s="69" t="s">
        <v>83</v>
      </c>
      <c r="F11" s="72" t="str">
        <f>VLOOKUP(E11,Population!B:D,2,FALSE)</f>
        <v>Outer Suburb</v>
      </c>
      <c r="G11" s="153">
        <f>VLOOKUP(E11,Population!B:D,3,FALSE)</f>
        <v>9213</v>
      </c>
      <c r="H11" s="99">
        <v>1</v>
      </c>
      <c r="I11" s="99">
        <v>2</v>
      </c>
      <c r="J11" s="99" t="s">
        <v>176</v>
      </c>
      <c r="K11" s="99" t="s">
        <v>176</v>
      </c>
      <c r="L11" s="99" t="s">
        <v>272</v>
      </c>
      <c r="M11" s="74" t="s">
        <v>176</v>
      </c>
      <c r="N11" s="73" t="s">
        <v>211</v>
      </c>
      <c r="O11" s="74" t="s">
        <v>176</v>
      </c>
      <c r="P11" s="115">
        <v>4</v>
      </c>
      <c r="Q11" s="115">
        <v>4</v>
      </c>
      <c r="R11" s="115" t="s">
        <v>176</v>
      </c>
      <c r="S11" s="75" t="s">
        <v>176</v>
      </c>
      <c r="T11" s="109">
        <v>4</v>
      </c>
      <c r="U11" s="109">
        <v>4</v>
      </c>
      <c r="V11" s="109" t="s">
        <v>176</v>
      </c>
      <c r="W11" s="95" t="s">
        <v>176</v>
      </c>
      <c r="X11" s="103" t="s">
        <v>273</v>
      </c>
      <c r="Y11" s="79" t="s">
        <v>274</v>
      </c>
      <c r="Z11" s="88" t="s">
        <v>182</v>
      </c>
      <c r="AA11" s="88"/>
      <c r="AB11" s="88" t="s">
        <v>174</v>
      </c>
      <c r="AC11" s="88" t="s">
        <v>174</v>
      </c>
      <c r="AD11" s="88" t="s">
        <v>174</v>
      </c>
      <c r="AE11" s="88"/>
      <c r="AF11" s="88" t="s">
        <v>174</v>
      </c>
      <c r="AG11" s="88" t="s">
        <v>182</v>
      </c>
      <c r="AH11" s="88" t="s">
        <v>182</v>
      </c>
      <c r="AI11" s="88" t="s">
        <v>174</v>
      </c>
      <c r="AJ11" s="88" t="s">
        <v>182</v>
      </c>
      <c r="AK11" s="88" t="s">
        <v>182</v>
      </c>
      <c r="AL11" s="88" t="s">
        <v>182</v>
      </c>
      <c r="AM11" s="92"/>
      <c r="AN11" s="92"/>
      <c r="AO11" s="92"/>
      <c r="AP11" s="92"/>
      <c r="AQ11" s="92"/>
      <c r="AR11" s="97"/>
      <c r="AS11" s="97"/>
      <c r="AT11" s="97"/>
      <c r="AU11" s="97"/>
      <c r="AV11" s="76" t="s">
        <v>174</v>
      </c>
      <c r="AW11" s="76" t="s">
        <v>275</v>
      </c>
      <c r="AX11" s="76" t="s">
        <v>182</v>
      </c>
      <c r="AY11" s="76" t="s">
        <v>174</v>
      </c>
      <c r="AZ11" s="76" t="s">
        <v>182</v>
      </c>
    </row>
    <row r="12" spans="1:52" s="5" customFormat="1" ht="49.5" customHeight="1" x14ac:dyDescent="0.2">
      <c r="A12" s="68" t="s">
        <v>4</v>
      </c>
      <c r="B12" s="69" t="s">
        <v>174</v>
      </c>
      <c r="C12" s="56">
        <v>44290</v>
      </c>
      <c r="D12" s="69" t="s">
        <v>9</v>
      </c>
      <c r="E12" s="71" t="s">
        <v>98</v>
      </c>
      <c r="F12" s="72" t="str">
        <f>VLOOKUP(E12,Population!B:D,2,FALSE)</f>
        <v>Urban Area</v>
      </c>
      <c r="G12" s="153">
        <f>VLOOKUP(E12,Population!B:D,3,FALSE)</f>
        <v>130143</v>
      </c>
      <c r="H12" s="99">
        <v>1</v>
      </c>
      <c r="I12" s="99">
        <v>2</v>
      </c>
      <c r="J12" s="99">
        <v>1</v>
      </c>
      <c r="K12" s="99" t="s">
        <v>197</v>
      </c>
      <c r="L12" s="99">
        <v>0.33</v>
      </c>
      <c r="M12" s="74" t="s">
        <v>186</v>
      </c>
      <c r="N12" s="73" t="s">
        <v>187</v>
      </c>
      <c r="O12" s="74" t="s">
        <v>176</v>
      </c>
      <c r="P12" s="115">
        <v>4</v>
      </c>
      <c r="Q12" s="115">
        <v>5</v>
      </c>
      <c r="R12" s="115" t="s">
        <v>197</v>
      </c>
      <c r="S12" s="77" t="s">
        <v>197</v>
      </c>
      <c r="T12" s="109">
        <f>1/1000*1000</f>
        <v>1</v>
      </c>
      <c r="U12" s="109">
        <f>1/200*1000</f>
        <v>5</v>
      </c>
      <c r="V12" s="109" t="s">
        <v>197</v>
      </c>
      <c r="W12" s="96" t="s">
        <v>230</v>
      </c>
      <c r="X12" s="102" t="s">
        <v>175</v>
      </c>
      <c r="Y12" s="76" t="s">
        <v>175</v>
      </c>
      <c r="Z12" s="88" t="s">
        <v>174</v>
      </c>
      <c r="AA12" s="88" t="s">
        <v>182</v>
      </c>
      <c r="AB12" s="88" t="s">
        <v>174</v>
      </c>
      <c r="AC12" s="88" t="s">
        <v>174</v>
      </c>
      <c r="AD12" s="88" t="s">
        <v>174</v>
      </c>
      <c r="AE12" s="88" t="s">
        <v>174</v>
      </c>
      <c r="AF12" s="88" t="s">
        <v>174</v>
      </c>
      <c r="AG12" s="88" t="s">
        <v>182</v>
      </c>
      <c r="AH12" s="88" t="s">
        <v>174</v>
      </c>
      <c r="AI12" s="88" t="s">
        <v>174</v>
      </c>
      <c r="AJ12" s="88" t="s">
        <v>182</v>
      </c>
      <c r="AK12" s="88" t="s">
        <v>174</v>
      </c>
      <c r="AL12" s="88" t="s">
        <v>174</v>
      </c>
      <c r="AM12" s="92" t="s">
        <v>182</v>
      </c>
      <c r="AN12" s="92" t="s">
        <v>182</v>
      </c>
      <c r="AO12" s="92" t="s">
        <v>182</v>
      </c>
      <c r="AP12" s="92" t="s">
        <v>182</v>
      </c>
      <c r="AQ12" s="92" t="s">
        <v>174</v>
      </c>
      <c r="AR12" s="97" t="s">
        <v>174</v>
      </c>
      <c r="AS12" s="97" t="s">
        <v>174</v>
      </c>
      <c r="AT12" s="97" t="s">
        <v>182</v>
      </c>
      <c r="AU12" s="97" t="s">
        <v>182</v>
      </c>
      <c r="AV12" s="76" t="s">
        <v>174</v>
      </c>
      <c r="AW12" s="76" t="s">
        <v>290</v>
      </c>
      <c r="AX12" s="82" t="s">
        <v>182</v>
      </c>
      <c r="AY12" s="76" t="s">
        <v>174</v>
      </c>
      <c r="AZ12" s="76" t="s">
        <v>182</v>
      </c>
    </row>
    <row r="13" spans="1:52" s="5" customFormat="1" ht="49.5" customHeight="1" x14ac:dyDescent="0.2">
      <c r="A13" s="68" t="s">
        <v>48</v>
      </c>
      <c r="B13" s="69" t="s">
        <v>174</v>
      </c>
      <c r="C13" s="55">
        <v>44227</v>
      </c>
      <c r="D13" s="69" t="s">
        <v>24</v>
      </c>
      <c r="E13" s="71" t="s">
        <v>104</v>
      </c>
      <c r="F13" s="72" t="str">
        <f>VLOOKUP(E13,Population!B:D,2,FALSE)</f>
        <v>Urban Area</v>
      </c>
      <c r="G13" s="153">
        <f>VLOOKUP(E13,Population!B:D,3,FALSE)</f>
        <v>109142</v>
      </c>
      <c r="H13" s="99">
        <v>1</v>
      </c>
      <c r="I13" s="99">
        <v>2</v>
      </c>
      <c r="J13" s="99" t="s">
        <v>176</v>
      </c>
      <c r="K13" s="99" t="s">
        <v>176</v>
      </c>
      <c r="L13" s="99" t="s">
        <v>176</v>
      </c>
      <c r="M13" s="74" t="s">
        <v>265</v>
      </c>
      <c r="N13" s="73" t="s">
        <v>211</v>
      </c>
      <c r="O13" s="74" t="s">
        <v>176</v>
      </c>
      <c r="P13" s="115">
        <f>1/350*1000</f>
        <v>2.8571428571428572</v>
      </c>
      <c r="Q13" s="115">
        <f>1/300*1000</f>
        <v>3.3333333333333335</v>
      </c>
      <c r="R13" s="115" t="s">
        <v>176</v>
      </c>
      <c r="S13" s="77" t="s">
        <v>266</v>
      </c>
      <c r="T13" s="109">
        <f>1/300*1000</f>
        <v>3.3333333333333335</v>
      </c>
      <c r="U13" s="109">
        <f>1/300*1000</f>
        <v>3.3333333333333335</v>
      </c>
      <c r="V13" s="109" t="s">
        <v>176</v>
      </c>
      <c r="W13" s="96" t="s">
        <v>267</v>
      </c>
      <c r="X13" s="102" t="s">
        <v>176</v>
      </c>
      <c r="Y13" s="76" t="s">
        <v>268</v>
      </c>
      <c r="Z13" s="88" t="s">
        <v>182</v>
      </c>
      <c r="AA13" s="88" t="s">
        <v>182</v>
      </c>
      <c r="AB13" s="88" t="s">
        <v>174</v>
      </c>
      <c r="AC13" s="88" t="s">
        <v>174</v>
      </c>
      <c r="AD13" s="88" t="s">
        <v>182</v>
      </c>
      <c r="AE13" s="88" t="s">
        <v>174</v>
      </c>
      <c r="AF13" s="88" t="s">
        <v>182</v>
      </c>
      <c r="AG13" s="88" t="s">
        <v>182</v>
      </c>
      <c r="AH13" s="88" t="s">
        <v>174</v>
      </c>
      <c r="AI13" s="88" t="s">
        <v>174</v>
      </c>
      <c r="AJ13" s="88" t="s">
        <v>182</v>
      </c>
      <c r="AK13" s="88" t="s">
        <v>182</v>
      </c>
      <c r="AL13" s="88" t="s">
        <v>182</v>
      </c>
      <c r="AM13" s="92" t="s">
        <v>174</v>
      </c>
      <c r="AN13" s="92" t="s">
        <v>174</v>
      </c>
      <c r="AO13" s="92" t="s">
        <v>182</v>
      </c>
      <c r="AP13" s="92" t="s">
        <v>182</v>
      </c>
      <c r="AQ13" s="92" t="s">
        <v>182</v>
      </c>
      <c r="AR13" s="97" t="s">
        <v>174</v>
      </c>
      <c r="AS13" s="97" t="s">
        <v>174</v>
      </c>
      <c r="AT13" s="97" t="s">
        <v>182</v>
      </c>
      <c r="AU13" s="97" t="s">
        <v>182</v>
      </c>
      <c r="AV13" s="76" t="s">
        <v>182</v>
      </c>
      <c r="AW13" s="76" t="s">
        <v>175</v>
      </c>
      <c r="AX13" s="76" t="s">
        <v>182</v>
      </c>
      <c r="AY13" s="76" t="s">
        <v>182</v>
      </c>
      <c r="AZ13" s="76" t="s">
        <v>182</v>
      </c>
    </row>
    <row r="14" spans="1:52" s="5" customFormat="1" ht="49.5" customHeight="1" x14ac:dyDescent="0.2">
      <c r="A14" s="68" t="s">
        <v>4</v>
      </c>
      <c r="B14" s="69" t="s">
        <v>174</v>
      </c>
      <c r="C14" s="86"/>
      <c r="D14" s="69" t="s">
        <v>4</v>
      </c>
      <c r="E14" s="70" t="s">
        <v>79</v>
      </c>
      <c r="F14" s="72" t="str">
        <f>VLOOKUP(E14,Population!B:D,2,FALSE)</f>
        <v>Outer Suburb</v>
      </c>
      <c r="G14" s="153">
        <f>VLOOKUP(E14,Population!B:D,3,FALSE)</f>
        <v>65716</v>
      </c>
      <c r="H14" s="99">
        <v>1</v>
      </c>
      <c r="I14" s="99">
        <v>2</v>
      </c>
      <c r="J14" s="99" t="s">
        <v>196</v>
      </c>
      <c r="K14" s="99" t="s">
        <v>197</v>
      </c>
      <c r="L14" s="99">
        <v>0.5</v>
      </c>
      <c r="M14" s="74" t="s">
        <v>313</v>
      </c>
      <c r="N14" s="73" t="s">
        <v>314</v>
      </c>
      <c r="O14" s="74" t="s">
        <v>315</v>
      </c>
      <c r="P14" s="115">
        <v>3.3330000000000002</v>
      </c>
      <c r="Q14" s="115">
        <v>5</v>
      </c>
      <c r="R14" s="115" t="s">
        <v>176</v>
      </c>
      <c r="S14" s="75" t="s">
        <v>316</v>
      </c>
      <c r="T14" s="109">
        <v>2.85</v>
      </c>
      <c r="U14" s="109">
        <v>4</v>
      </c>
      <c r="V14" s="109" t="s">
        <v>197</v>
      </c>
      <c r="W14" s="95"/>
      <c r="X14" s="103"/>
      <c r="Y14" s="79" t="s">
        <v>317</v>
      </c>
      <c r="Z14" s="88" t="s">
        <v>174</v>
      </c>
      <c r="AA14" s="88"/>
      <c r="AB14" s="88" t="s">
        <v>182</v>
      </c>
      <c r="AC14" s="88" t="s">
        <v>174</v>
      </c>
      <c r="AD14" s="88" t="s">
        <v>182</v>
      </c>
      <c r="AE14" s="88"/>
      <c r="AF14" s="88" t="s">
        <v>182</v>
      </c>
      <c r="AG14" s="88" t="s">
        <v>182</v>
      </c>
      <c r="AH14" s="88" t="s">
        <v>182</v>
      </c>
      <c r="AI14" s="88" t="s">
        <v>174</v>
      </c>
      <c r="AJ14" s="88" t="s">
        <v>182</v>
      </c>
      <c r="AK14" s="88" t="s">
        <v>182</v>
      </c>
      <c r="AL14" s="88" t="s">
        <v>182</v>
      </c>
      <c r="AM14" s="92"/>
      <c r="AN14" s="92"/>
      <c r="AO14" s="92"/>
      <c r="AP14" s="92"/>
      <c r="AQ14" s="92"/>
      <c r="AR14" s="97"/>
      <c r="AS14" s="97"/>
      <c r="AT14" s="97"/>
      <c r="AU14" s="97"/>
      <c r="AV14" s="76" t="s">
        <v>174</v>
      </c>
      <c r="AW14" s="76" t="s">
        <v>318</v>
      </c>
      <c r="AX14" s="76" t="s">
        <v>182</v>
      </c>
      <c r="AY14" s="76" t="s">
        <v>174</v>
      </c>
      <c r="AZ14" s="76" t="s">
        <v>182</v>
      </c>
    </row>
    <row r="15" spans="1:52" s="5" customFormat="1" ht="49.5" customHeight="1" x14ac:dyDescent="0.2">
      <c r="A15" s="68" t="s">
        <v>48</v>
      </c>
      <c r="B15" s="69" t="s">
        <v>174</v>
      </c>
      <c r="C15" s="55">
        <v>44286</v>
      </c>
      <c r="D15" s="69" t="s">
        <v>24</v>
      </c>
      <c r="E15" s="71" t="s">
        <v>105</v>
      </c>
      <c r="F15" s="72" t="str">
        <f>VLOOKUP(E15,Population!B:D,2,FALSE)</f>
        <v>Urban Area</v>
      </c>
      <c r="G15" s="153">
        <f>VLOOKUP(E15,Population!B:D,3,FALSE)</f>
        <v>30794</v>
      </c>
      <c r="H15" s="99">
        <v>1</v>
      </c>
      <c r="I15" s="99">
        <v>3</v>
      </c>
      <c r="J15" s="99" t="s">
        <v>176</v>
      </c>
      <c r="K15" s="99" t="s">
        <v>176</v>
      </c>
      <c r="L15" s="99">
        <v>0.2</v>
      </c>
      <c r="M15" s="74" t="s">
        <v>186</v>
      </c>
      <c r="N15" s="73" t="s">
        <v>236</v>
      </c>
      <c r="O15" s="74" t="s">
        <v>176</v>
      </c>
      <c r="P15" s="116">
        <f>1/500*1000</f>
        <v>2</v>
      </c>
      <c r="Q15" s="116">
        <f>1/200*1000</f>
        <v>5</v>
      </c>
      <c r="R15" s="116" t="s">
        <v>176</v>
      </c>
      <c r="S15" s="134" t="s">
        <v>176</v>
      </c>
      <c r="T15" s="110">
        <f>1/300*1000</f>
        <v>3.3333333333333335</v>
      </c>
      <c r="U15" s="110">
        <f>1/200*1000</f>
        <v>5</v>
      </c>
      <c r="V15" s="109" t="s">
        <v>176</v>
      </c>
      <c r="W15" s="96" t="s">
        <v>176</v>
      </c>
      <c r="X15" s="102" t="s">
        <v>176</v>
      </c>
      <c r="Y15" s="76" t="s">
        <v>237</v>
      </c>
      <c r="Z15" s="88" t="s">
        <v>174</v>
      </c>
      <c r="AA15" s="88" t="s">
        <v>182</v>
      </c>
      <c r="AB15" s="88" t="s">
        <v>182</v>
      </c>
      <c r="AC15" s="88" t="s">
        <v>174</v>
      </c>
      <c r="AD15" s="88" t="s">
        <v>182</v>
      </c>
      <c r="AE15" s="88" t="s">
        <v>174</v>
      </c>
      <c r="AF15" s="88" t="s">
        <v>182</v>
      </c>
      <c r="AG15" s="88" t="s">
        <v>182</v>
      </c>
      <c r="AH15" s="88" t="s">
        <v>174</v>
      </c>
      <c r="AI15" s="88" t="s">
        <v>174</v>
      </c>
      <c r="AJ15" s="88" t="s">
        <v>182</v>
      </c>
      <c r="AK15" s="88" t="s">
        <v>182</v>
      </c>
      <c r="AL15" s="88" t="s">
        <v>182</v>
      </c>
      <c r="AM15" s="92" t="s">
        <v>182</v>
      </c>
      <c r="AN15" s="92" t="s">
        <v>182</v>
      </c>
      <c r="AO15" s="92" t="s">
        <v>182</v>
      </c>
      <c r="AP15" s="92" t="s">
        <v>182</v>
      </c>
      <c r="AQ15" s="92" t="s">
        <v>182</v>
      </c>
      <c r="AR15" s="97" t="s">
        <v>174</v>
      </c>
      <c r="AS15" s="97" t="s">
        <v>174</v>
      </c>
      <c r="AT15" s="97" t="s">
        <v>174</v>
      </c>
      <c r="AU15" s="97" t="s">
        <v>174</v>
      </c>
      <c r="AV15" s="76" t="s">
        <v>182</v>
      </c>
      <c r="AW15" s="76" t="s">
        <v>175</v>
      </c>
      <c r="AX15" s="76" t="s">
        <v>182</v>
      </c>
      <c r="AY15" s="76" t="s">
        <v>182</v>
      </c>
      <c r="AZ15" s="76" t="s">
        <v>182</v>
      </c>
    </row>
    <row r="16" spans="1:52" s="5" customFormat="1" ht="49.5" customHeight="1" x14ac:dyDescent="0.2">
      <c r="A16" s="68" t="s">
        <v>112</v>
      </c>
      <c r="B16" s="69" t="s">
        <v>174</v>
      </c>
      <c r="C16" s="56">
        <v>44227</v>
      </c>
      <c r="D16" s="69" t="s">
        <v>9</v>
      </c>
      <c r="E16" s="71" t="s">
        <v>99</v>
      </c>
      <c r="F16" s="72" t="str">
        <f>VLOOKUP(E16,Population!B:D,2,FALSE)</f>
        <v>Urban Area</v>
      </c>
      <c r="G16" s="153">
        <f>VLOOKUP(E16,Population!B:D,3,FALSE)</f>
        <v>24953</v>
      </c>
      <c r="H16" s="99">
        <v>0.5</v>
      </c>
      <c r="I16" s="99">
        <v>2</v>
      </c>
      <c r="J16" s="99" t="s">
        <v>196</v>
      </c>
      <c r="K16" s="99" t="s">
        <v>197</v>
      </c>
      <c r="L16" s="99" t="s">
        <v>197</v>
      </c>
      <c r="M16" s="74" t="s">
        <v>176</v>
      </c>
      <c r="N16" s="73" t="s">
        <v>207</v>
      </c>
      <c r="O16" s="74" t="s">
        <v>197</v>
      </c>
      <c r="P16" s="115">
        <f>1/1000*1000</f>
        <v>1</v>
      </c>
      <c r="Q16" s="115">
        <f>1/300*1000</f>
        <v>3.3333333333333335</v>
      </c>
      <c r="R16" s="115" t="s">
        <v>197</v>
      </c>
      <c r="S16" s="77" t="s">
        <v>197</v>
      </c>
      <c r="T16" s="109">
        <f>1/250*1000</f>
        <v>4</v>
      </c>
      <c r="U16" s="109">
        <f>1/250*1000</f>
        <v>4</v>
      </c>
      <c r="V16" s="109" t="s">
        <v>176</v>
      </c>
      <c r="W16" s="96" t="s">
        <v>197</v>
      </c>
      <c r="X16" s="102" t="s">
        <v>175</v>
      </c>
      <c r="Y16" s="76" t="s">
        <v>208</v>
      </c>
      <c r="Z16" s="88" t="s">
        <v>174</v>
      </c>
      <c r="AA16" s="88" t="s">
        <v>182</v>
      </c>
      <c r="AB16" s="88" t="s">
        <v>174</v>
      </c>
      <c r="AC16" s="88" t="s">
        <v>174</v>
      </c>
      <c r="AD16" s="88" t="s">
        <v>174</v>
      </c>
      <c r="AE16" s="88" t="s">
        <v>182</v>
      </c>
      <c r="AF16" s="88" t="s">
        <v>182</v>
      </c>
      <c r="AG16" s="88" t="s">
        <v>174</v>
      </c>
      <c r="AH16" s="88" t="s">
        <v>174</v>
      </c>
      <c r="AI16" s="88" t="s">
        <v>174</v>
      </c>
      <c r="AJ16" s="88" t="s">
        <v>182</v>
      </c>
      <c r="AK16" s="88" t="s">
        <v>182</v>
      </c>
      <c r="AL16" s="88" t="s">
        <v>182</v>
      </c>
      <c r="AM16" s="92" t="s">
        <v>174</v>
      </c>
      <c r="AN16" s="92" t="s">
        <v>182</v>
      </c>
      <c r="AO16" s="92" t="s">
        <v>182</v>
      </c>
      <c r="AP16" s="92" t="s">
        <v>182</v>
      </c>
      <c r="AQ16" s="92" t="s">
        <v>174</v>
      </c>
      <c r="AR16" s="97" t="s">
        <v>174</v>
      </c>
      <c r="AS16" s="97" t="s">
        <v>174</v>
      </c>
      <c r="AT16" s="97" t="s">
        <v>182</v>
      </c>
      <c r="AU16" s="97" t="s">
        <v>182</v>
      </c>
      <c r="AV16" s="76" t="s">
        <v>174</v>
      </c>
      <c r="AW16" s="76" t="s">
        <v>209</v>
      </c>
      <c r="AX16" s="76" t="s">
        <v>174</v>
      </c>
      <c r="AY16" s="76" t="s">
        <v>182</v>
      </c>
      <c r="AZ16" s="76" t="s">
        <v>174</v>
      </c>
    </row>
    <row r="17" spans="1:52" s="5" customFormat="1" ht="49.5" customHeight="1" x14ac:dyDescent="0.2">
      <c r="A17" s="68" t="s">
        <v>210</v>
      </c>
      <c r="B17" s="69" t="s">
        <v>182</v>
      </c>
      <c r="C17" s="56">
        <v>44290</v>
      </c>
      <c r="D17" s="69" t="s">
        <v>4</v>
      </c>
      <c r="E17" s="71" t="s">
        <v>71</v>
      </c>
      <c r="F17" s="72" t="str">
        <f>VLOOKUP(E17,Population!B:D,2,FALSE)</f>
        <v>Core Suburb</v>
      </c>
      <c r="G17" s="153">
        <f>VLOOKUP(E17,Population!B:D,3,FALSE)</f>
        <v>12298</v>
      </c>
      <c r="H17" s="99">
        <v>1</v>
      </c>
      <c r="I17" s="99">
        <v>1</v>
      </c>
      <c r="J17" s="99">
        <v>0</v>
      </c>
      <c r="K17" s="99" t="s">
        <v>175</v>
      </c>
      <c r="L17" s="99">
        <v>0.2</v>
      </c>
      <c r="M17" s="74" t="s">
        <v>224</v>
      </c>
      <c r="N17" s="73" t="s">
        <v>225</v>
      </c>
      <c r="O17" s="74" t="s">
        <v>226</v>
      </c>
      <c r="P17" s="115">
        <v>3</v>
      </c>
      <c r="Q17" s="115">
        <v>3</v>
      </c>
      <c r="R17" s="115" t="s">
        <v>175</v>
      </c>
      <c r="S17" s="77" t="s">
        <v>197</v>
      </c>
      <c r="T17" s="109">
        <v>2.4</v>
      </c>
      <c r="U17" s="109">
        <v>2.4</v>
      </c>
      <c r="V17" s="109" t="s">
        <v>175</v>
      </c>
      <c r="W17" s="96"/>
      <c r="X17" s="102"/>
      <c r="Y17" s="76"/>
      <c r="Z17" s="88" t="s">
        <v>174</v>
      </c>
      <c r="AA17" s="88" t="s">
        <v>182</v>
      </c>
      <c r="AB17" s="88" t="s">
        <v>182</v>
      </c>
      <c r="AC17" s="88" t="s">
        <v>174</v>
      </c>
      <c r="AD17" s="88" t="s">
        <v>174</v>
      </c>
      <c r="AE17" s="88" t="s">
        <v>174</v>
      </c>
      <c r="AF17" s="88" t="s">
        <v>174</v>
      </c>
      <c r="AG17" s="88" t="s">
        <v>182</v>
      </c>
      <c r="AH17" s="88" t="s">
        <v>174</v>
      </c>
      <c r="AI17" s="88" t="s">
        <v>182</v>
      </c>
      <c r="AJ17" s="88" t="s">
        <v>174</v>
      </c>
      <c r="AK17" s="88" t="s">
        <v>182</v>
      </c>
      <c r="AL17" s="88" t="s">
        <v>182</v>
      </c>
      <c r="AM17" s="92" t="s">
        <v>174</v>
      </c>
      <c r="AN17" s="92" t="s">
        <v>174</v>
      </c>
      <c r="AO17" s="92" t="s">
        <v>174</v>
      </c>
      <c r="AP17" s="92" t="s">
        <v>182</v>
      </c>
      <c r="AQ17" s="92" t="s">
        <v>182</v>
      </c>
      <c r="AR17" s="97" t="s">
        <v>182</v>
      </c>
      <c r="AS17" s="97" t="s">
        <v>174</v>
      </c>
      <c r="AT17" s="97" t="s">
        <v>174</v>
      </c>
      <c r="AU17" s="97" t="s">
        <v>174</v>
      </c>
      <c r="AV17" s="76" t="s">
        <v>174</v>
      </c>
      <c r="AW17" s="76" t="s">
        <v>175</v>
      </c>
      <c r="AX17" s="76" t="s">
        <v>182</v>
      </c>
      <c r="AY17" s="76" t="s">
        <v>174</v>
      </c>
      <c r="AZ17" s="76" t="s">
        <v>174</v>
      </c>
    </row>
    <row r="18" spans="1:52" s="5" customFormat="1" ht="49.5" customHeight="1" x14ac:dyDescent="0.2">
      <c r="A18" s="68" t="s">
        <v>24</v>
      </c>
      <c r="B18" s="69" t="s">
        <v>174</v>
      </c>
      <c r="C18" s="55">
        <v>44270</v>
      </c>
      <c r="D18" s="69" t="s">
        <v>45</v>
      </c>
      <c r="E18" s="71" t="s">
        <v>87</v>
      </c>
      <c r="F18" s="72" t="str">
        <f>VLOOKUP(E18,Population!B:D,2,FALSE)</f>
        <v>Outer Suburb</v>
      </c>
      <c r="G18" s="153">
        <f>VLOOKUP(E18,Population!B:D,3,FALSE)</f>
        <v>116981</v>
      </c>
      <c r="H18" s="99">
        <v>1</v>
      </c>
      <c r="I18" s="99">
        <v>2</v>
      </c>
      <c r="J18" s="99">
        <v>2</v>
      </c>
      <c r="K18" s="99" t="s">
        <v>176</v>
      </c>
      <c r="L18" s="99" t="s">
        <v>175</v>
      </c>
      <c r="M18" s="74" t="s">
        <v>175</v>
      </c>
      <c r="N18" s="73" t="s">
        <v>187</v>
      </c>
      <c r="O18" s="74" t="s">
        <v>242</v>
      </c>
      <c r="P18" s="115">
        <f>1/500*1000</f>
        <v>2</v>
      </c>
      <c r="Q18" s="115">
        <f>1/200*1000</f>
        <v>5</v>
      </c>
      <c r="R18" s="115" t="s">
        <v>176</v>
      </c>
      <c r="S18" s="77" t="s">
        <v>176</v>
      </c>
      <c r="T18" s="109">
        <f>1/250*1000</f>
        <v>4</v>
      </c>
      <c r="U18" s="109">
        <f>1/200*1000</f>
        <v>5</v>
      </c>
      <c r="V18" s="109" t="s">
        <v>176</v>
      </c>
      <c r="W18" s="96" t="s">
        <v>176</v>
      </c>
      <c r="X18" s="104"/>
      <c r="Y18" s="76" t="s">
        <v>243</v>
      </c>
      <c r="Z18" s="88" t="s">
        <v>174</v>
      </c>
      <c r="AA18" s="88" t="s">
        <v>182</v>
      </c>
      <c r="AB18" s="88" t="s">
        <v>174</v>
      </c>
      <c r="AC18" s="88" t="s">
        <v>174</v>
      </c>
      <c r="AD18" s="88" t="s">
        <v>174</v>
      </c>
      <c r="AE18" s="88" t="s">
        <v>182</v>
      </c>
      <c r="AF18" s="88" t="s">
        <v>174</v>
      </c>
      <c r="AG18" s="88" t="s">
        <v>182</v>
      </c>
      <c r="AH18" s="88" t="s">
        <v>182</v>
      </c>
      <c r="AI18" s="88" t="s">
        <v>174</v>
      </c>
      <c r="AJ18" s="88" t="s">
        <v>182</v>
      </c>
      <c r="AK18" s="88" t="s">
        <v>174</v>
      </c>
      <c r="AL18" s="88" t="s">
        <v>174</v>
      </c>
      <c r="AM18" s="92" t="s">
        <v>174</v>
      </c>
      <c r="AN18" s="92" t="s">
        <v>182</v>
      </c>
      <c r="AO18" s="92" t="s">
        <v>182</v>
      </c>
      <c r="AP18" s="92" t="s">
        <v>182</v>
      </c>
      <c r="AQ18" s="92" t="s">
        <v>182</v>
      </c>
      <c r="AR18" s="97" t="s">
        <v>182</v>
      </c>
      <c r="AS18" s="97" t="s">
        <v>174</v>
      </c>
      <c r="AT18" s="97" t="s">
        <v>174</v>
      </c>
      <c r="AU18" s="97" t="s">
        <v>182</v>
      </c>
      <c r="AV18" s="76" t="s">
        <v>174</v>
      </c>
      <c r="AW18" s="76" t="s">
        <v>214</v>
      </c>
      <c r="AX18" s="76" t="s">
        <v>174</v>
      </c>
      <c r="AY18" s="76" t="s">
        <v>182</v>
      </c>
      <c r="AZ18" s="76" t="s">
        <v>182</v>
      </c>
    </row>
    <row r="19" spans="1:52" s="5" customFormat="1" ht="49.5" customHeight="1" x14ac:dyDescent="0.2">
      <c r="A19" s="68" t="s">
        <v>4</v>
      </c>
      <c r="B19" s="69" t="s">
        <v>174</v>
      </c>
      <c r="C19" s="56">
        <v>44217</v>
      </c>
      <c r="D19" s="69" t="s">
        <v>4</v>
      </c>
      <c r="E19" s="71" t="s">
        <v>55</v>
      </c>
      <c r="F19" s="72" t="str">
        <f>VLOOKUP(E19,Population!B:D,2,FALSE)</f>
        <v>Core Suburb</v>
      </c>
      <c r="G19" s="153">
        <f>VLOOKUP(E19,Population!B:D,3,FALSE)</f>
        <v>234220</v>
      </c>
      <c r="H19" s="99">
        <v>1</v>
      </c>
      <c r="I19" s="99">
        <v>3</v>
      </c>
      <c r="J19" s="99" t="s">
        <v>291</v>
      </c>
      <c r="K19" s="99" t="s">
        <v>197</v>
      </c>
      <c r="L19" s="99" t="s">
        <v>292</v>
      </c>
      <c r="M19" s="74" t="s">
        <v>175</v>
      </c>
      <c r="N19" s="73" t="s">
        <v>293</v>
      </c>
      <c r="O19" s="74" t="s">
        <v>197</v>
      </c>
      <c r="P19" s="115">
        <v>1.25</v>
      </c>
      <c r="Q19" s="115">
        <v>3.3</v>
      </c>
      <c r="R19" s="115" t="s">
        <v>197</v>
      </c>
      <c r="S19" s="77" t="s">
        <v>197</v>
      </c>
      <c r="T19" s="109">
        <v>3.3</v>
      </c>
      <c r="U19" s="117">
        <v>5</v>
      </c>
      <c r="V19" s="109" t="s">
        <v>197</v>
      </c>
      <c r="W19" s="96" t="s">
        <v>197</v>
      </c>
      <c r="X19" s="102" t="s">
        <v>175</v>
      </c>
      <c r="Y19" s="76" t="s">
        <v>294</v>
      </c>
      <c r="Z19" s="88" t="s">
        <v>174</v>
      </c>
      <c r="AA19" s="88" t="s">
        <v>182</v>
      </c>
      <c r="AB19" s="88" t="s">
        <v>182</v>
      </c>
      <c r="AC19" s="88" t="s">
        <v>174</v>
      </c>
      <c r="AD19" s="88" t="s">
        <v>174</v>
      </c>
      <c r="AE19" s="88" t="s">
        <v>174</v>
      </c>
      <c r="AF19" s="88" t="s">
        <v>174</v>
      </c>
      <c r="AG19" s="88" t="s">
        <v>182</v>
      </c>
      <c r="AH19" s="88" t="s">
        <v>174</v>
      </c>
      <c r="AI19" s="88" t="s">
        <v>174</v>
      </c>
      <c r="AJ19" s="88" t="s">
        <v>174</v>
      </c>
      <c r="AK19" s="88" t="s">
        <v>174</v>
      </c>
      <c r="AL19" s="88" t="s">
        <v>182</v>
      </c>
      <c r="AM19" s="92" t="s">
        <v>174</v>
      </c>
      <c r="AN19" s="92" t="s">
        <v>174</v>
      </c>
      <c r="AO19" s="92" t="s">
        <v>182</v>
      </c>
      <c r="AP19" s="92" t="s">
        <v>182</v>
      </c>
      <c r="AQ19" s="92" t="s">
        <v>182</v>
      </c>
      <c r="AR19" s="98" t="s">
        <v>174</v>
      </c>
      <c r="AS19" s="97" t="s">
        <v>174</v>
      </c>
      <c r="AT19" s="97" t="s">
        <v>182</v>
      </c>
      <c r="AU19" s="97" t="s">
        <v>182</v>
      </c>
      <c r="AV19" s="76" t="s">
        <v>174</v>
      </c>
      <c r="AW19" s="76" t="s">
        <v>295</v>
      </c>
      <c r="AX19" s="76" t="s">
        <v>182</v>
      </c>
      <c r="AY19" s="76" t="s">
        <v>174</v>
      </c>
      <c r="AZ19" s="76" t="s">
        <v>182</v>
      </c>
    </row>
    <row r="20" spans="1:52" s="5" customFormat="1" ht="49.5" customHeight="1" x14ac:dyDescent="0.2">
      <c r="A20" s="68" t="s">
        <v>42</v>
      </c>
      <c r="B20" s="69" t="s">
        <v>174</v>
      </c>
      <c r="C20" s="85"/>
      <c r="D20" s="69" t="s">
        <v>48</v>
      </c>
      <c r="E20" s="69" t="s">
        <v>68</v>
      </c>
      <c r="F20" s="72" t="str">
        <f>VLOOKUP(E20,Population!B:D,2,FALSE)</f>
        <v>Core Suburb</v>
      </c>
      <c r="G20" s="153">
        <f>VLOOKUP(E20,Population!B:D,3,FALSE)</f>
        <v>57084</v>
      </c>
      <c r="H20" s="99">
        <v>1</v>
      </c>
      <c r="I20" s="99">
        <v>2</v>
      </c>
      <c r="J20" s="99">
        <v>1</v>
      </c>
      <c r="K20" s="99">
        <v>2.2000000000000002</v>
      </c>
      <c r="L20" s="99">
        <v>0.25</v>
      </c>
      <c r="M20" s="74" t="s">
        <v>186</v>
      </c>
      <c r="N20" s="73" t="s">
        <v>187</v>
      </c>
      <c r="O20" s="74" t="s">
        <v>176</v>
      </c>
      <c r="P20" s="115">
        <v>4</v>
      </c>
      <c r="Q20" s="115">
        <v>4</v>
      </c>
      <c r="R20" s="115">
        <v>4.4000000000000004</v>
      </c>
      <c r="S20" s="75" t="s">
        <v>176</v>
      </c>
      <c r="T20" s="109">
        <v>3.3</v>
      </c>
      <c r="U20" s="109">
        <v>3.3</v>
      </c>
      <c r="V20" s="109">
        <v>3.6</v>
      </c>
      <c r="W20" s="95" t="s">
        <v>176</v>
      </c>
      <c r="X20" s="103" t="s">
        <v>176</v>
      </c>
      <c r="Y20" s="79" t="s">
        <v>188</v>
      </c>
      <c r="Z20" s="88" t="s">
        <v>182</v>
      </c>
      <c r="AA20" s="88"/>
      <c r="AB20" s="88" t="s">
        <v>182</v>
      </c>
      <c r="AC20" s="88" t="s">
        <v>174</v>
      </c>
      <c r="AD20" s="88" t="s">
        <v>182</v>
      </c>
      <c r="AE20" s="88"/>
      <c r="AF20" s="88" t="s">
        <v>174</v>
      </c>
      <c r="AG20" s="88" t="s">
        <v>182</v>
      </c>
      <c r="AH20" s="88" t="s">
        <v>182</v>
      </c>
      <c r="AI20" s="88" t="s">
        <v>182</v>
      </c>
      <c r="AJ20" s="88" t="s">
        <v>182</v>
      </c>
      <c r="AK20" s="88" t="s">
        <v>182</v>
      </c>
      <c r="AL20" s="88" t="s">
        <v>182</v>
      </c>
      <c r="AM20" s="92"/>
      <c r="AN20" s="92"/>
      <c r="AO20" s="92"/>
      <c r="AP20" s="156" t="s">
        <v>174</v>
      </c>
      <c r="AQ20" s="92"/>
      <c r="AR20" s="97"/>
      <c r="AS20" s="97"/>
      <c r="AT20" s="97"/>
      <c r="AU20" s="97"/>
      <c r="AV20" s="76" t="s">
        <v>182</v>
      </c>
      <c r="AW20" s="76"/>
      <c r="AX20" s="76" t="s">
        <v>182</v>
      </c>
      <c r="AY20" s="76" t="s">
        <v>182</v>
      </c>
      <c r="AZ20" s="76" t="s">
        <v>182</v>
      </c>
    </row>
    <row r="21" spans="1:52" s="5" customFormat="1" ht="49.5" customHeight="1" x14ac:dyDescent="0.2">
      <c r="A21" s="68" t="s">
        <v>11</v>
      </c>
      <c r="B21" s="69" t="s">
        <v>174</v>
      </c>
      <c r="C21" s="56">
        <v>44227</v>
      </c>
      <c r="D21" s="69" t="s">
        <v>4</v>
      </c>
      <c r="E21" s="71" t="s">
        <v>57</v>
      </c>
      <c r="F21" s="72" t="str">
        <f>VLOOKUP(E21,Population!B:D,2,FALSE)</f>
        <v>Core Suburb</v>
      </c>
      <c r="G21" s="153">
        <f>VLOOKUP(E21,Population!B:D,3,FALSE)</f>
        <v>160311</v>
      </c>
      <c r="H21" s="99">
        <v>1.5</v>
      </c>
      <c r="I21" s="99">
        <v>4</v>
      </c>
      <c r="J21" s="99" t="s">
        <v>329</v>
      </c>
      <c r="K21" s="99" t="s">
        <v>197</v>
      </c>
      <c r="L21" s="99"/>
      <c r="M21" s="74" t="s">
        <v>330</v>
      </c>
      <c r="N21" s="73" t="s">
        <v>331</v>
      </c>
      <c r="O21" s="74" t="s">
        <v>197</v>
      </c>
      <c r="P21" s="115">
        <f>1/250*1000</f>
        <v>4</v>
      </c>
      <c r="Q21" s="115">
        <f>1/175*1000</f>
        <v>5.7142857142857144</v>
      </c>
      <c r="R21" s="115" t="s">
        <v>197</v>
      </c>
      <c r="S21" s="77" t="s">
        <v>197</v>
      </c>
      <c r="T21" s="109">
        <f>1/250*1000</f>
        <v>4</v>
      </c>
      <c r="U21" s="109">
        <f>1/200*1000</f>
        <v>5</v>
      </c>
      <c r="V21" s="109" t="s">
        <v>197</v>
      </c>
      <c r="W21" s="96" t="s">
        <v>197</v>
      </c>
      <c r="X21" s="102" t="s">
        <v>197</v>
      </c>
      <c r="Y21" s="76" t="s">
        <v>332</v>
      </c>
      <c r="Z21" s="88" t="s">
        <v>174</v>
      </c>
      <c r="AA21" s="88" t="s">
        <v>182</v>
      </c>
      <c r="AB21" s="88" t="s">
        <v>182</v>
      </c>
      <c r="AC21" s="88" t="s">
        <v>174</v>
      </c>
      <c r="AD21" s="88" t="s">
        <v>174</v>
      </c>
      <c r="AE21" s="88" t="s">
        <v>174</v>
      </c>
      <c r="AF21" s="88" t="s">
        <v>174</v>
      </c>
      <c r="AG21" s="88" t="s">
        <v>182</v>
      </c>
      <c r="AH21" s="88" t="s">
        <v>174</v>
      </c>
      <c r="AI21" s="88" t="s">
        <v>174</v>
      </c>
      <c r="AJ21" s="88" t="s">
        <v>174</v>
      </c>
      <c r="AK21" s="88" t="s">
        <v>174</v>
      </c>
      <c r="AL21" s="88" t="s">
        <v>174</v>
      </c>
      <c r="AM21" s="92" t="s">
        <v>174</v>
      </c>
      <c r="AN21" s="92" t="s">
        <v>174</v>
      </c>
      <c r="AO21" s="92" t="s">
        <v>182</v>
      </c>
      <c r="AP21" s="92" t="s">
        <v>182</v>
      </c>
      <c r="AQ21" s="92" t="s">
        <v>174</v>
      </c>
      <c r="AR21" s="97" t="s">
        <v>174</v>
      </c>
      <c r="AS21" s="97" t="s">
        <v>174</v>
      </c>
      <c r="AT21" s="97" t="s">
        <v>182</v>
      </c>
      <c r="AU21" s="97" t="s">
        <v>182</v>
      </c>
      <c r="AV21" s="76" t="s">
        <v>174</v>
      </c>
      <c r="AW21" s="76" t="s">
        <v>333</v>
      </c>
      <c r="AX21" s="76" t="s">
        <v>182</v>
      </c>
      <c r="AY21" s="76" t="s">
        <v>174</v>
      </c>
      <c r="AZ21" s="76" t="s">
        <v>182</v>
      </c>
    </row>
    <row r="22" spans="1:52" s="5" customFormat="1" ht="49.5" customHeight="1" x14ac:dyDescent="0.2">
      <c r="A22" s="68"/>
      <c r="B22" s="69" t="s">
        <v>174</v>
      </c>
      <c r="C22" s="86"/>
      <c r="D22" s="69" t="s">
        <v>9</v>
      </c>
      <c r="E22" s="70" t="s">
        <v>82</v>
      </c>
      <c r="F22" s="72" t="str">
        <f>VLOOKUP(E22,Population!B:D,2,FALSE)</f>
        <v>Outer Suburb</v>
      </c>
      <c r="G22" s="153">
        <f>VLOOKUP(E22,Population!B:D,3,FALSE)</f>
        <v>25530</v>
      </c>
      <c r="H22" s="99">
        <v>1.5</v>
      </c>
      <c r="I22" s="99">
        <v>3</v>
      </c>
      <c r="J22" s="99" t="s">
        <v>196</v>
      </c>
      <c r="K22" s="99" t="s">
        <v>197</v>
      </c>
      <c r="L22" s="99">
        <v>0.5</v>
      </c>
      <c r="M22" s="74" t="s">
        <v>186</v>
      </c>
      <c r="N22" s="73" t="s">
        <v>187</v>
      </c>
      <c r="O22" s="74" t="s">
        <v>197</v>
      </c>
      <c r="P22" s="115">
        <v>4</v>
      </c>
      <c r="Q22" s="115">
        <v>5</v>
      </c>
      <c r="R22" s="115" t="s">
        <v>197</v>
      </c>
      <c r="S22" s="75" t="s">
        <v>197</v>
      </c>
      <c r="T22" s="109">
        <v>2.5</v>
      </c>
      <c r="U22" s="109">
        <v>5</v>
      </c>
      <c r="V22" s="109" t="s">
        <v>197</v>
      </c>
      <c r="W22" s="95" t="s">
        <v>197</v>
      </c>
      <c r="X22" s="103" t="s">
        <v>197</v>
      </c>
      <c r="Y22" s="79" t="s">
        <v>197</v>
      </c>
      <c r="Z22" s="88" t="s">
        <v>174</v>
      </c>
      <c r="AA22" s="88"/>
      <c r="AB22" s="88" t="s">
        <v>182</v>
      </c>
      <c r="AC22" s="88" t="s">
        <v>174</v>
      </c>
      <c r="AD22" s="88" t="s">
        <v>182</v>
      </c>
      <c r="AE22" s="88"/>
      <c r="AF22" s="88" t="s">
        <v>182</v>
      </c>
      <c r="AG22" s="88" t="s">
        <v>182</v>
      </c>
      <c r="AH22" s="88" t="s">
        <v>182</v>
      </c>
      <c r="AI22" s="88" t="s">
        <v>174</v>
      </c>
      <c r="AJ22" s="88" t="s">
        <v>182</v>
      </c>
      <c r="AK22" s="88" t="s">
        <v>182</v>
      </c>
      <c r="AL22" s="88" t="s">
        <v>182</v>
      </c>
      <c r="AM22" s="92"/>
      <c r="AN22" s="92"/>
      <c r="AO22" s="92"/>
      <c r="AP22" s="92"/>
      <c r="AQ22" s="92"/>
      <c r="AR22" s="97"/>
      <c r="AS22" s="97"/>
      <c r="AT22" s="97"/>
      <c r="AU22" s="97"/>
      <c r="AV22" s="76" t="s">
        <v>182</v>
      </c>
      <c r="AW22" s="76"/>
      <c r="AX22" s="76" t="s">
        <v>182</v>
      </c>
      <c r="AY22" s="76" t="s">
        <v>182</v>
      </c>
      <c r="AZ22" s="76" t="s">
        <v>182</v>
      </c>
    </row>
    <row r="23" spans="1:52" s="5" customFormat="1" ht="49.5" customHeight="1" x14ac:dyDescent="0.2">
      <c r="A23" s="68" t="s">
        <v>48</v>
      </c>
      <c r="B23" s="69" t="s">
        <v>174</v>
      </c>
      <c r="C23" s="55">
        <v>44302</v>
      </c>
      <c r="D23" s="69" t="s">
        <v>4</v>
      </c>
      <c r="E23" s="71" t="s">
        <v>74</v>
      </c>
      <c r="F23" s="72" t="str">
        <f>VLOOKUP(E23,Population!B:D,2,FALSE)</f>
        <v>Outer Suburb</v>
      </c>
      <c r="G23" s="153">
        <f>VLOOKUP(E23,Population!B:D,3,FALSE)</f>
        <v>91861</v>
      </c>
      <c r="H23" s="99">
        <v>1</v>
      </c>
      <c r="I23" s="99">
        <v>2</v>
      </c>
      <c r="J23" s="158">
        <v>1</v>
      </c>
      <c r="K23" s="99" t="s">
        <v>176</v>
      </c>
      <c r="L23" s="99" t="s">
        <v>175</v>
      </c>
      <c r="M23" s="74" t="s">
        <v>175</v>
      </c>
      <c r="N23" s="73" t="s">
        <v>279</v>
      </c>
      <c r="O23" s="74" t="s">
        <v>297</v>
      </c>
      <c r="P23" s="115">
        <v>2</v>
      </c>
      <c r="Q23" s="115">
        <v>5</v>
      </c>
      <c r="R23" s="115" t="s">
        <v>197</v>
      </c>
      <c r="S23" s="77" t="s">
        <v>298</v>
      </c>
      <c r="T23" s="109">
        <v>3.33</v>
      </c>
      <c r="U23" s="109">
        <v>4</v>
      </c>
      <c r="V23" s="109" t="s">
        <v>197</v>
      </c>
      <c r="W23" s="96" t="s">
        <v>175</v>
      </c>
      <c r="X23" s="102">
        <v>3.33</v>
      </c>
      <c r="Y23" s="76" t="s">
        <v>175</v>
      </c>
      <c r="Z23" s="88" t="s">
        <v>174</v>
      </c>
      <c r="AA23" s="88" t="s">
        <v>182</v>
      </c>
      <c r="AB23" s="88" t="s">
        <v>182</v>
      </c>
      <c r="AC23" s="88" t="s">
        <v>174</v>
      </c>
      <c r="AD23" s="88" t="s">
        <v>174</v>
      </c>
      <c r="AE23" s="88" t="s">
        <v>182</v>
      </c>
      <c r="AF23" s="88" t="s">
        <v>174</v>
      </c>
      <c r="AG23" s="88" t="s">
        <v>182</v>
      </c>
      <c r="AH23" s="88" t="s">
        <v>182</v>
      </c>
      <c r="AI23" s="88" t="s">
        <v>174</v>
      </c>
      <c r="AJ23" s="88" t="s">
        <v>174</v>
      </c>
      <c r="AK23" s="88" t="s">
        <v>174</v>
      </c>
      <c r="AL23" s="88" t="s">
        <v>182</v>
      </c>
      <c r="AM23" s="92" t="s">
        <v>182</v>
      </c>
      <c r="AN23" s="92" t="s">
        <v>182</v>
      </c>
      <c r="AO23" s="92" t="s">
        <v>182</v>
      </c>
      <c r="AP23" s="156" t="s">
        <v>174</v>
      </c>
      <c r="AQ23" s="92" t="s">
        <v>182</v>
      </c>
      <c r="AR23" s="97" t="s">
        <v>182</v>
      </c>
      <c r="AS23" s="97" t="s">
        <v>182</v>
      </c>
      <c r="AT23" s="97" t="s">
        <v>182</v>
      </c>
      <c r="AU23" s="97" t="s">
        <v>182</v>
      </c>
      <c r="AV23" s="76" t="s">
        <v>174</v>
      </c>
      <c r="AW23" s="76" t="s">
        <v>175</v>
      </c>
      <c r="AX23" s="76" t="s">
        <v>182</v>
      </c>
      <c r="AY23" s="76" t="s">
        <v>182</v>
      </c>
      <c r="AZ23" s="76" t="s">
        <v>182</v>
      </c>
    </row>
    <row r="24" spans="1:52" s="5" customFormat="1" ht="49.5" customHeight="1" x14ac:dyDescent="0.2">
      <c r="A24" s="68" t="s">
        <v>210</v>
      </c>
      <c r="B24" s="69" t="s">
        <v>174</v>
      </c>
      <c r="C24" s="85"/>
      <c r="D24" s="69" t="s">
        <v>24</v>
      </c>
      <c r="E24" s="69" t="s">
        <v>63</v>
      </c>
      <c r="F24" s="72" t="str">
        <f>VLOOKUP(E24,Population!B:D,2,FALSE)</f>
        <v>Core Suburb</v>
      </c>
      <c r="G24" s="153">
        <f>VLOOKUP(E24,Population!B:D,3,FALSE)</f>
        <v>35254</v>
      </c>
      <c r="H24" s="99">
        <v>1</v>
      </c>
      <c r="I24" s="99">
        <v>2</v>
      </c>
      <c r="J24" s="99">
        <v>1</v>
      </c>
      <c r="K24" s="99" t="s">
        <v>176</v>
      </c>
      <c r="L24" s="99">
        <v>0.33</v>
      </c>
      <c r="M24" s="74" t="s">
        <v>186</v>
      </c>
      <c r="N24" s="73" t="s">
        <v>238</v>
      </c>
      <c r="O24" s="74" t="s">
        <v>176</v>
      </c>
      <c r="P24" s="115">
        <v>6</v>
      </c>
      <c r="Q24" s="115">
        <v>6</v>
      </c>
      <c r="R24" s="115" t="s">
        <v>176</v>
      </c>
      <c r="S24" s="75" t="s">
        <v>230</v>
      </c>
      <c r="T24" s="109">
        <v>4</v>
      </c>
      <c r="U24" s="109">
        <v>5</v>
      </c>
      <c r="V24" s="109" t="s">
        <v>176</v>
      </c>
      <c r="W24" s="95"/>
      <c r="X24" s="103" t="s">
        <v>176</v>
      </c>
      <c r="Y24" s="79" t="s">
        <v>176</v>
      </c>
      <c r="Z24" s="88" t="s">
        <v>182</v>
      </c>
      <c r="AA24" s="88"/>
      <c r="AB24" s="88" t="s">
        <v>182</v>
      </c>
      <c r="AC24" s="88" t="s">
        <v>182</v>
      </c>
      <c r="AD24" s="88" t="s">
        <v>182</v>
      </c>
      <c r="AE24" s="88"/>
      <c r="AF24" s="88" t="s">
        <v>182</v>
      </c>
      <c r="AG24" s="88" t="s">
        <v>182</v>
      </c>
      <c r="AH24" s="88" t="s">
        <v>182</v>
      </c>
      <c r="AI24" s="88" t="s">
        <v>182</v>
      </c>
      <c r="AJ24" s="88" t="s">
        <v>182</v>
      </c>
      <c r="AK24" s="88" t="s">
        <v>182</v>
      </c>
      <c r="AL24" s="88" t="s">
        <v>174</v>
      </c>
      <c r="AM24" s="92"/>
      <c r="AN24" s="92"/>
      <c r="AO24" s="92"/>
      <c r="AP24" s="156" t="s">
        <v>174</v>
      </c>
      <c r="AQ24" s="92"/>
      <c r="AR24" s="97"/>
      <c r="AS24" s="97"/>
      <c r="AT24" s="97"/>
      <c r="AU24" s="97"/>
      <c r="AV24" s="76" t="s">
        <v>182</v>
      </c>
      <c r="AW24" s="76"/>
      <c r="AX24" s="76" t="s">
        <v>182</v>
      </c>
      <c r="AY24" s="76" t="s">
        <v>182</v>
      </c>
      <c r="AZ24" s="76" t="s">
        <v>182</v>
      </c>
    </row>
    <row r="25" spans="1:52" s="5" customFormat="1" ht="49.5" customHeight="1" x14ac:dyDescent="0.2">
      <c r="A25" s="68" t="s">
        <v>4</v>
      </c>
      <c r="B25" s="69" t="s">
        <v>174</v>
      </c>
      <c r="C25" s="55">
        <v>44304</v>
      </c>
      <c r="D25" s="69" t="s">
        <v>24</v>
      </c>
      <c r="E25" s="71" t="s">
        <v>64</v>
      </c>
      <c r="F25" s="72" t="str">
        <f>VLOOKUP(E25,Population!B:D,2,FALSE)</f>
        <v>Core Suburb</v>
      </c>
      <c r="G25" s="153">
        <f>VLOOKUP(E25,Population!B:D,3,FALSE)</f>
        <v>22832</v>
      </c>
      <c r="H25" s="100">
        <v>1</v>
      </c>
      <c r="I25" s="99">
        <v>2</v>
      </c>
      <c r="J25" s="99" t="s">
        <v>196</v>
      </c>
      <c r="K25" s="99" t="s">
        <v>176</v>
      </c>
      <c r="L25" s="99" t="s">
        <v>176</v>
      </c>
      <c r="M25" s="74" t="s">
        <v>176</v>
      </c>
      <c r="N25" s="73" t="s">
        <v>227</v>
      </c>
      <c r="O25" s="83" t="s">
        <v>228</v>
      </c>
      <c r="P25" s="115">
        <v>5</v>
      </c>
      <c r="Q25" s="115">
        <v>5</v>
      </c>
      <c r="R25" s="115" t="s">
        <v>175</v>
      </c>
      <c r="S25" s="77" t="s">
        <v>229</v>
      </c>
      <c r="T25" s="109">
        <v>3.3</v>
      </c>
      <c r="U25" s="109">
        <v>3.3</v>
      </c>
      <c r="V25" s="109" t="s">
        <v>176</v>
      </c>
      <c r="W25" s="96" t="s">
        <v>230</v>
      </c>
      <c r="X25" s="103" t="s">
        <v>176</v>
      </c>
      <c r="Y25" s="79" t="s">
        <v>176</v>
      </c>
      <c r="Z25" s="88" t="s">
        <v>182</v>
      </c>
      <c r="AA25" s="88" t="s">
        <v>182</v>
      </c>
      <c r="AB25" s="88" t="s">
        <v>182</v>
      </c>
      <c r="AC25" s="88" t="s">
        <v>174</v>
      </c>
      <c r="AD25" s="88" t="s">
        <v>182</v>
      </c>
      <c r="AE25" s="88" t="s">
        <v>174</v>
      </c>
      <c r="AF25" s="88" t="s">
        <v>182</v>
      </c>
      <c r="AG25" s="88" t="s">
        <v>174</v>
      </c>
      <c r="AH25" s="88" t="s">
        <v>182</v>
      </c>
      <c r="AI25" s="88" t="s">
        <v>182</v>
      </c>
      <c r="AJ25" s="88" t="s">
        <v>182</v>
      </c>
      <c r="AK25" s="88" t="s">
        <v>174</v>
      </c>
      <c r="AL25" s="88" t="s">
        <v>174</v>
      </c>
      <c r="AM25" s="92" t="s">
        <v>174</v>
      </c>
      <c r="AN25" s="92" t="s">
        <v>182</v>
      </c>
      <c r="AO25" s="92" t="s">
        <v>182</v>
      </c>
      <c r="AP25" s="92" t="s">
        <v>182</v>
      </c>
      <c r="AQ25" s="92" t="s">
        <v>182</v>
      </c>
      <c r="AR25" s="97" t="s">
        <v>182</v>
      </c>
      <c r="AS25" s="97" t="s">
        <v>182</v>
      </c>
      <c r="AT25" s="97" t="s">
        <v>182</v>
      </c>
      <c r="AU25" s="97" t="s">
        <v>182</v>
      </c>
      <c r="AV25" s="76" t="s">
        <v>174</v>
      </c>
      <c r="AW25" s="76" t="s">
        <v>231</v>
      </c>
      <c r="AX25" s="76" t="s">
        <v>182</v>
      </c>
      <c r="AY25" s="76" t="s">
        <v>174</v>
      </c>
      <c r="AZ25" s="76" t="s">
        <v>174</v>
      </c>
    </row>
    <row r="26" spans="1:52" s="5" customFormat="1" ht="49.5" customHeight="1" x14ac:dyDescent="0.2">
      <c r="A26" s="68" t="s">
        <v>9</v>
      </c>
      <c r="B26" s="69" t="s">
        <v>174</v>
      </c>
      <c r="C26" s="55">
        <v>44286</v>
      </c>
      <c r="D26" s="69" t="s">
        <v>48</v>
      </c>
      <c r="E26" s="71" t="s">
        <v>69</v>
      </c>
      <c r="F26" s="72" t="str">
        <f>VLOOKUP(E26,Population!B:D,2,FALSE)</f>
        <v>Core Suburb</v>
      </c>
      <c r="G26" s="153">
        <f>VLOOKUP(E26,Population!B:D,3,FALSE)</f>
        <v>77961</v>
      </c>
      <c r="H26" s="99">
        <v>1</v>
      </c>
      <c r="I26" s="99">
        <v>3</v>
      </c>
      <c r="J26" s="99" t="s">
        <v>196</v>
      </c>
      <c r="K26" s="99" t="s">
        <v>176</v>
      </c>
      <c r="L26" s="99">
        <f>1*0.15</f>
        <v>0.15</v>
      </c>
      <c r="M26" s="74" t="s">
        <v>232</v>
      </c>
      <c r="N26" s="73" t="s">
        <v>233</v>
      </c>
      <c r="O26" s="74" t="s">
        <v>175</v>
      </c>
      <c r="P26" s="115">
        <f>1/350*1000</f>
        <v>2.8571428571428572</v>
      </c>
      <c r="Q26" s="115">
        <f>1/150*1000</f>
        <v>6.666666666666667</v>
      </c>
      <c r="R26" s="115" t="s">
        <v>176</v>
      </c>
      <c r="S26" s="77" t="s">
        <v>176</v>
      </c>
      <c r="T26" s="109">
        <f>1/350*1000</f>
        <v>2.8571428571428572</v>
      </c>
      <c r="U26" s="109">
        <f>1/180*1000</f>
        <v>5.5555555555555554</v>
      </c>
      <c r="V26" s="109" t="s">
        <v>176</v>
      </c>
      <c r="W26" s="96" t="s">
        <v>204</v>
      </c>
      <c r="X26" s="104" t="s">
        <v>212</v>
      </c>
      <c r="Y26" s="76" t="s">
        <v>234</v>
      </c>
      <c r="Z26" s="88" t="s">
        <v>174</v>
      </c>
      <c r="AA26" s="88" t="s">
        <v>182</v>
      </c>
      <c r="AB26" s="88" t="s">
        <v>182</v>
      </c>
      <c r="AC26" s="88" t="s">
        <v>174</v>
      </c>
      <c r="AD26" s="88" t="s">
        <v>174</v>
      </c>
      <c r="AE26" s="88" t="s">
        <v>174</v>
      </c>
      <c r="AF26" s="88" t="s">
        <v>174</v>
      </c>
      <c r="AG26" s="88" t="s">
        <v>174</v>
      </c>
      <c r="AH26" s="88" t="s">
        <v>174</v>
      </c>
      <c r="AI26" s="88" t="s">
        <v>174</v>
      </c>
      <c r="AJ26" s="88" t="s">
        <v>182</v>
      </c>
      <c r="AK26" s="88" t="s">
        <v>182</v>
      </c>
      <c r="AL26" s="88" t="s">
        <v>182</v>
      </c>
      <c r="AM26" s="92" t="s">
        <v>182</v>
      </c>
      <c r="AN26" s="92" t="s">
        <v>182</v>
      </c>
      <c r="AO26" s="92" t="s">
        <v>182</v>
      </c>
      <c r="AP26" s="92" t="s">
        <v>182</v>
      </c>
      <c r="AQ26" s="92" t="s">
        <v>182</v>
      </c>
      <c r="AR26" s="97" t="s">
        <v>182</v>
      </c>
      <c r="AS26" s="97" t="s">
        <v>182</v>
      </c>
      <c r="AT26" s="97" t="s">
        <v>182</v>
      </c>
      <c r="AU26" s="97" t="s">
        <v>182</v>
      </c>
      <c r="AV26" s="76" t="s">
        <v>174</v>
      </c>
      <c r="AW26" s="76" t="s">
        <v>235</v>
      </c>
      <c r="AX26" s="76" t="s">
        <v>182</v>
      </c>
      <c r="AY26" s="76" t="s">
        <v>174</v>
      </c>
      <c r="AZ26" s="76" t="s">
        <v>182</v>
      </c>
    </row>
    <row r="27" spans="1:52" s="5" customFormat="1" ht="49.5" customHeight="1" x14ac:dyDescent="0.2">
      <c r="A27" s="68" t="s">
        <v>42</v>
      </c>
      <c r="B27" s="69" t="s">
        <v>174</v>
      </c>
      <c r="C27" s="85"/>
      <c r="D27" s="69" t="s">
        <v>9</v>
      </c>
      <c r="E27" s="69" t="s">
        <v>92</v>
      </c>
      <c r="F27" s="72" t="str">
        <f>VLOOKUP(E27,Population!B:D,2,FALSE)</f>
        <v>Outer Suburb</v>
      </c>
      <c r="G27" s="153">
        <f>VLOOKUP(E27,Population!B:D,3,FALSE)</f>
        <v>16946</v>
      </c>
      <c r="H27" s="99">
        <v>2</v>
      </c>
      <c r="I27" s="99">
        <v>2</v>
      </c>
      <c r="J27" s="99">
        <v>2</v>
      </c>
      <c r="K27" s="99" t="s">
        <v>176</v>
      </c>
      <c r="L27" s="99" t="s">
        <v>305</v>
      </c>
      <c r="M27" s="74" t="s">
        <v>186</v>
      </c>
      <c r="N27" s="73" t="s">
        <v>177</v>
      </c>
      <c r="O27" s="74" t="s">
        <v>176</v>
      </c>
      <c r="P27" s="115">
        <v>4</v>
      </c>
      <c r="Q27" s="115">
        <v>4</v>
      </c>
      <c r="R27" s="115" t="s">
        <v>197</v>
      </c>
      <c r="S27" s="75"/>
      <c r="T27" s="109">
        <v>4</v>
      </c>
      <c r="U27" s="109">
        <v>4</v>
      </c>
      <c r="V27" s="109" t="s">
        <v>176</v>
      </c>
      <c r="W27" s="95" t="s">
        <v>230</v>
      </c>
      <c r="X27" s="103"/>
      <c r="Y27" s="79"/>
      <c r="Z27" s="88" t="s">
        <v>174</v>
      </c>
      <c r="AA27" s="88"/>
      <c r="AB27" s="88" t="s">
        <v>182</v>
      </c>
      <c r="AC27" s="88" t="s">
        <v>174</v>
      </c>
      <c r="AD27" s="88" t="s">
        <v>182</v>
      </c>
      <c r="AE27" s="88"/>
      <c r="AF27" s="88" t="s">
        <v>182</v>
      </c>
      <c r="AG27" s="88" t="s">
        <v>182</v>
      </c>
      <c r="AH27" s="88" t="s">
        <v>182</v>
      </c>
      <c r="AI27" s="88" t="s">
        <v>182</v>
      </c>
      <c r="AJ27" s="88" t="s">
        <v>174</v>
      </c>
      <c r="AK27" s="88" t="s">
        <v>182</v>
      </c>
      <c r="AL27" s="88" t="s">
        <v>182</v>
      </c>
      <c r="AM27" s="92"/>
      <c r="AN27" s="92"/>
      <c r="AO27" s="92"/>
      <c r="AP27" s="92"/>
      <c r="AQ27" s="92"/>
      <c r="AR27" s="97"/>
      <c r="AS27" s="97"/>
      <c r="AT27" s="97"/>
      <c r="AU27" s="97"/>
      <c r="AV27" s="76" t="s">
        <v>182</v>
      </c>
      <c r="AW27" s="76"/>
      <c r="AX27" s="76" t="s">
        <v>182</v>
      </c>
      <c r="AY27" s="76" t="s">
        <v>182</v>
      </c>
      <c r="AZ27" s="76" t="s">
        <v>182</v>
      </c>
    </row>
    <row r="28" spans="1:52" s="5" customFormat="1" ht="49.5" customHeight="1" x14ac:dyDescent="0.2">
      <c r="A28" s="68" t="s">
        <v>4</v>
      </c>
      <c r="B28" s="69" t="s">
        <v>174</v>
      </c>
      <c r="C28" s="55">
        <v>44245</v>
      </c>
      <c r="D28" s="69" t="s">
        <v>48</v>
      </c>
      <c r="E28" s="71" t="s">
        <v>91</v>
      </c>
      <c r="F28" s="72" t="str">
        <f>VLOOKUP(E28,Population!B:D,2,FALSE)</f>
        <v>Outer Suburb</v>
      </c>
      <c r="G28" s="153">
        <f>VLOOKUP(E28,Population!B:D,3,FALSE)</f>
        <v>46454</v>
      </c>
      <c r="H28" s="99">
        <v>1.5</v>
      </c>
      <c r="I28" s="99">
        <v>2.5</v>
      </c>
      <c r="J28" s="99">
        <v>1</v>
      </c>
      <c r="K28" s="99" t="s">
        <v>176</v>
      </c>
      <c r="L28" s="99">
        <v>0.25</v>
      </c>
      <c r="M28" s="74" t="s">
        <v>322</v>
      </c>
      <c r="N28" s="73" t="s">
        <v>187</v>
      </c>
      <c r="O28" s="74" t="s">
        <v>323</v>
      </c>
      <c r="P28" s="115">
        <f>1/1000*1000</f>
        <v>1</v>
      </c>
      <c r="Q28" s="115">
        <v>2.8</v>
      </c>
      <c r="R28" s="115" t="s">
        <v>176</v>
      </c>
      <c r="S28" s="77" t="s">
        <v>176</v>
      </c>
      <c r="T28" s="109">
        <f>1/250*1000</f>
        <v>4</v>
      </c>
      <c r="U28" s="109">
        <f>1/250*1000</f>
        <v>4</v>
      </c>
      <c r="V28" s="109" t="s">
        <v>176</v>
      </c>
      <c r="W28" s="96" t="s">
        <v>176</v>
      </c>
      <c r="X28" s="102" t="s">
        <v>324</v>
      </c>
      <c r="Y28" s="76" t="s">
        <v>325</v>
      </c>
      <c r="Z28" s="88" t="s">
        <v>174</v>
      </c>
      <c r="AA28" s="88" t="s">
        <v>182</v>
      </c>
      <c r="AB28" s="88" t="s">
        <v>182</v>
      </c>
      <c r="AC28" s="88" t="s">
        <v>174</v>
      </c>
      <c r="AD28" s="88" t="s">
        <v>182</v>
      </c>
      <c r="AE28" s="88" t="s">
        <v>182</v>
      </c>
      <c r="AF28" s="88" t="s">
        <v>174</v>
      </c>
      <c r="AG28" s="88" t="s">
        <v>182</v>
      </c>
      <c r="AH28" s="88" t="s">
        <v>182</v>
      </c>
      <c r="AI28" s="88" t="s">
        <v>182</v>
      </c>
      <c r="AJ28" s="88" t="s">
        <v>174</v>
      </c>
      <c r="AK28" s="88" t="s">
        <v>174</v>
      </c>
      <c r="AL28" s="88" t="s">
        <v>182</v>
      </c>
      <c r="AM28" s="92" t="s">
        <v>182</v>
      </c>
      <c r="AN28" s="92" t="s">
        <v>182</v>
      </c>
      <c r="AO28" s="92" t="s">
        <v>182</v>
      </c>
      <c r="AP28" s="92" t="s">
        <v>182</v>
      </c>
      <c r="AQ28" s="92" t="s">
        <v>182</v>
      </c>
      <c r="AR28" s="97" t="s">
        <v>182</v>
      </c>
      <c r="AS28" s="97" t="s">
        <v>174</v>
      </c>
      <c r="AT28" s="97" t="s">
        <v>182</v>
      </c>
      <c r="AU28" s="97" t="s">
        <v>182</v>
      </c>
      <c r="AV28" s="76" t="s">
        <v>174</v>
      </c>
      <c r="AW28" s="76" t="s">
        <v>326</v>
      </c>
      <c r="AX28" s="76" t="s">
        <v>182</v>
      </c>
      <c r="AY28" s="76" t="s">
        <v>182</v>
      </c>
      <c r="AZ28" s="76" t="s">
        <v>182</v>
      </c>
    </row>
    <row r="29" spans="1:52" s="5" customFormat="1" ht="49.5" customHeight="1" x14ac:dyDescent="0.2">
      <c r="A29" s="68" t="s">
        <v>9</v>
      </c>
      <c r="B29" s="69" t="s">
        <v>174</v>
      </c>
      <c r="C29" s="55">
        <v>44285</v>
      </c>
      <c r="D29" s="69" t="s">
        <v>48</v>
      </c>
      <c r="E29" s="71" t="s">
        <v>106</v>
      </c>
      <c r="F29" s="72" t="str">
        <f>VLOOKUP(E29,Population!B:D,2,FALSE)</f>
        <v>Urban Area</v>
      </c>
      <c r="G29" s="153">
        <f>VLOOKUP(E29,Population!B:D,3,FALSE)</f>
        <v>82272</v>
      </c>
      <c r="H29" s="99">
        <v>1.5</v>
      </c>
      <c r="I29" s="99">
        <v>2</v>
      </c>
      <c r="J29" s="99">
        <v>1</v>
      </c>
      <c r="K29" s="99" t="s">
        <v>176</v>
      </c>
      <c r="L29" s="99">
        <f>I29*0.15</f>
        <v>0.3</v>
      </c>
      <c r="M29" s="74" t="s">
        <v>186</v>
      </c>
      <c r="N29" s="73" t="s">
        <v>193</v>
      </c>
      <c r="O29" s="74" t="s">
        <v>319</v>
      </c>
      <c r="P29" s="115">
        <f>1/600*1000</f>
        <v>1.6666666666666667</v>
      </c>
      <c r="Q29" s="115">
        <f>1/180*1000</f>
        <v>5.5555555555555554</v>
      </c>
      <c r="R29" s="115" t="s">
        <v>176</v>
      </c>
      <c r="S29" s="77" t="s">
        <v>176</v>
      </c>
      <c r="T29" s="109">
        <f>1/300*1000</f>
        <v>3.3333333333333335</v>
      </c>
      <c r="U29" s="109">
        <f>1/150*1000</f>
        <v>6.666666666666667</v>
      </c>
      <c r="V29" s="109" t="s">
        <v>176</v>
      </c>
      <c r="W29" s="96" t="s">
        <v>176</v>
      </c>
      <c r="X29" s="102" t="s">
        <v>176</v>
      </c>
      <c r="Y29" s="76" t="s">
        <v>320</v>
      </c>
      <c r="Z29" s="88" t="s">
        <v>174</v>
      </c>
      <c r="AA29" s="88" t="s">
        <v>182</v>
      </c>
      <c r="AB29" s="88" t="s">
        <v>182</v>
      </c>
      <c r="AC29" s="88" t="s">
        <v>174</v>
      </c>
      <c r="AD29" s="88" t="s">
        <v>182</v>
      </c>
      <c r="AE29" s="88" t="s">
        <v>174</v>
      </c>
      <c r="AF29" s="88" t="s">
        <v>182</v>
      </c>
      <c r="AG29" s="88" t="s">
        <v>182</v>
      </c>
      <c r="AH29" s="88" t="s">
        <v>182</v>
      </c>
      <c r="AI29" s="88" t="s">
        <v>182</v>
      </c>
      <c r="AJ29" s="88" t="s">
        <v>182</v>
      </c>
      <c r="AK29" s="88" t="s">
        <v>182</v>
      </c>
      <c r="AL29" s="88" t="s">
        <v>182</v>
      </c>
      <c r="AM29" s="92" t="s">
        <v>174</v>
      </c>
      <c r="AN29" s="92" t="s">
        <v>174</v>
      </c>
      <c r="AO29" s="92" t="s">
        <v>182</v>
      </c>
      <c r="AP29" s="92" t="s">
        <v>182</v>
      </c>
      <c r="AQ29" s="92" t="s">
        <v>174</v>
      </c>
      <c r="AR29" s="97" t="s">
        <v>182</v>
      </c>
      <c r="AS29" s="97" t="s">
        <v>174</v>
      </c>
      <c r="AT29" s="97" t="s">
        <v>174</v>
      </c>
      <c r="AU29" s="97" t="s">
        <v>174</v>
      </c>
      <c r="AV29" s="76" t="s">
        <v>174</v>
      </c>
      <c r="AW29" s="76" t="s">
        <v>321</v>
      </c>
      <c r="AX29" s="76" t="s">
        <v>182</v>
      </c>
      <c r="AY29" s="76" t="s">
        <v>182</v>
      </c>
      <c r="AZ29" s="76" t="s">
        <v>182</v>
      </c>
    </row>
    <row r="30" spans="1:52" s="5" customFormat="1" ht="49.5" customHeight="1" x14ac:dyDescent="0.2">
      <c r="A30" s="68" t="s">
        <v>9</v>
      </c>
      <c r="B30" s="69" t="s">
        <v>174</v>
      </c>
      <c r="C30" s="55">
        <v>44286</v>
      </c>
      <c r="D30" s="69" t="s">
        <v>27</v>
      </c>
      <c r="E30" s="71" t="s">
        <v>27</v>
      </c>
      <c r="F30" s="72" t="str">
        <f>VLOOKUP(E30,Population!B:D,2,FALSE)</f>
        <v>Urban Area</v>
      </c>
      <c r="G30" s="153">
        <f>VLOOKUP(E30,Population!B:D,3,FALSE)</f>
        <v>79278</v>
      </c>
      <c r="H30" s="99">
        <v>1.25</v>
      </c>
      <c r="I30" s="99">
        <v>2</v>
      </c>
      <c r="J30" s="99">
        <v>1</v>
      </c>
      <c r="K30" s="99" t="s">
        <v>176</v>
      </c>
      <c r="L30" s="99">
        <v>1</v>
      </c>
      <c r="M30" s="74" t="s">
        <v>202</v>
      </c>
      <c r="N30" s="73" t="s">
        <v>303</v>
      </c>
      <c r="O30" s="74" t="s">
        <v>176</v>
      </c>
      <c r="P30" s="115">
        <f>1/1200*1000</f>
        <v>0.83333333333333337</v>
      </c>
      <c r="Q30" s="115">
        <f>1/250*1000</f>
        <v>4</v>
      </c>
      <c r="R30" s="115" t="s">
        <v>176</v>
      </c>
      <c r="S30" s="77"/>
      <c r="T30" s="109">
        <f>1/250*1000</f>
        <v>4</v>
      </c>
      <c r="U30" s="109">
        <f>1/200*1000</f>
        <v>5</v>
      </c>
      <c r="V30" s="109" t="s">
        <v>176</v>
      </c>
      <c r="W30" s="96" t="s">
        <v>176</v>
      </c>
      <c r="X30" s="102" t="s">
        <v>176</v>
      </c>
      <c r="Y30" s="76" t="s">
        <v>175</v>
      </c>
      <c r="Z30" s="88" t="s">
        <v>174</v>
      </c>
      <c r="AA30" s="88" t="s">
        <v>182</v>
      </c>
      <c r="AB30" s="88" t="s">
        <v>182</v>
      </c>
      <c r="AC30" s="88" t="s">
        <v>182</v>
      </c>
      <c r="AD30" s="88" t="s">
        <v>174</v>
      </c>
      <c r="AE30" s="88" t="s">
        <v>182</v>
      </c>
      <c r="AF30" s="88" t="s">
        <v>174</v>
      </c>
      <c r="AG30" s="88" t="s">
        <v>182</v>
      </c>
      <c r="AH30" s="88" t="s">
        <v>174</v>
      </c>
      <c r="AI30" s="88" t="s">
        <v>174</v>
      </c>
      <c r="AJ30" s="88" t="s">
        <v>182</v>
      </c>
      <c r="AK30" s="88" t="s">
        <v>182</v>
      </c>
      <c r="AL30" s="88" t="s">
        <v>174</v>
      </c>
      <c r="AM30" s="92" t="s">
        <v>174</v>
      </c>
      <c r="AN30" s="92" t="s">
        <v>182</v>
      </c>
      <c r="AO30" s="92" t="s">
        <v>182</v>
      </c>
      <c r="AP30" s="92" t="s">
        <v>182</v>
      </c>
      <c r="AQ30" s="92" t="s">
        <v>182</v>
      </c>
      <c r="AR30" s="97" t="s">
        <v>174</v>
      </c>
      <c r="AS30" s="97" t="s">
        <v>174</v>
      </c>
      <c r="AT30" s="97" t="s">
        <v>182</v>
      </c>
      <c r="AU30" s="97" t="s">
        <v>182</v>
      </c>
      <c r="AV30" s="76" t="s">
        <v>174</v>
      </c>
      <c r="AW30" s="76" t="s">
        <v>304</v>
      </c>
      <c r="AX30" s="76" t="s">
        <v>182</v>
      </c>
      <c r="AY30" s="76" t="s">
        <v>182</v>
      </c>
      <c r="AZ30" s="76" t="s">
        <v>182</v>
      </c>
    </row>
    <row r="31" spans="1:52" s="5" customFormat="1" ht="49.5" customHeight="1" x14ac:dyDescent="0.2">
      <c r="A31" s="68" t="s">
        <v>42</v>
      </c>
      <c r="B31" s="69" t="s">
        <v>174</v>
      </c>
      <c r="C31" s="56">
        <v>44290</v>
      </c>
      <c r="D31" s="69" t="s">
        <v>4</v>
      </c>
      <c r="E31" s="71" t="s">
        <v>76</v>
      </c>
      <c r="F31" s="72" t="str">
        <f>VLOOKUP(E31,Population!B:D,2,FALSE)</f>
        <v>Outer Suburb</v>
      </c>
      <c r="G31" s="153">
        <f>VLOOKUP(E31,Population!B:D,3,FALSE)</f>
        <v>48966</v>
      </c>
      <c r="H31" s="100">
        <v>1.5</v>
      </c>
      <c r="I31" s="100">
        <v>2</v>
      </c>
      <c r="J31" s="100" t="s">
        <v>334</v>
      </c>
      <c r="K31" s="100" t="s">
        <v>197</v>
      </c>
      <c r="L31" s="100" t="s">
        <v>335</v>
      </c>
      <c r="M31" s="83"/>
      <c r="N31" s="73" t="s">
        <v>187</v>
      </c>
      <c r="O31" s="83" t="s">
        <v>197</v>
      </c>
      <c r="P31" s="116">
        <f>1/500*1000</f>
        <v>2</v>
      </c>
      <c r="Q31" s="116">
        <f>1/150*1000</f>
        <v>6.666666666666667</v>
      </c>
      <c r="R31" s="116" t="s">
        <v>197</v>
      </c>
      <c r="S31" s="134" t="s">
        <v>197</v>
      </c>
      <c r="T31" s="110">
        <f>1/300*1000</f>
        <v>3.3333333333333335</v>
      </c>
      <c r="U31" s="110">
        <f>1/300*1000</f>
        <v>3.3333333333333335</v>
      </c>
      <c r="V31" s="110" t="s">
        <v>197</v>
      </c>
      <c r="W31" s="136" t="s">
        <v>197</v>
      </c>
      <c r="X31" s="105" t="s">
        <v>197</v>
      </c>
      <c r="Y31" s="82" t="s">
        <v>197</v>
      </c>
      <c r="Z31" s="90" t="s">
        <v>174</v>
      </c>
      <c r="AA31" s="90" t="s">
        <v>174</v>
      </c>
      <c r="AB31" s="90" t="s">
        <v>182</v>
      </c>
      <c r="AC31" s="90" t="s">
        <v>182</v>
      </c>
      <c r="AD31" s="88" t="s">
        <v>174</v>
      </c>
      <c r="AE31" s="88" t="s">
        <v>174</v>
      </c>
      <c r="AF31" s="90" t="s">
        <v>182</v>
      </c>
      <c r="AG31" s="90" t="s">
        <v>182</v>
      </c>
      <c r="AH31" s="90" t="s">
        <v>174</v>
      </c>
      <c r="AI31" s="90" t="s">
        <v>174</v>
      </c>
      <c r="AJ31" s="90" t="s">
        <v>182</v>
      </c>
      <c r="AK31" s="90" t="s">
        <v>182</v>
      </c>
      <c r="AL31" s="90" t="s">
        <v>182</v>
      </c>
      <c r="AM31" s="94" t="s">
        <v>182</v>
      </c>
      <c r="AN31" s="94" t="s">
        <v>182</v>
      </c>
      <c r="AO31" s="94" t="s">
        <v>182</v>
      </c>
      <c r="AP31" s="94" t="s">
        <v>182</v>
      </c>
      <c r="AQ31" s="94" t="s">
        <v>182</v>
      </c>
      <c r="AR31" s="97" t="s">
        <v>182</v>
      </c>
      <c r="AS31" s="97" t="s">
        <v>174</v>
      </c>
      <c r="AT31" s="97" t="s">
        <v>182</v>
      </c>
      <c r="AU31" s="97" t="s">
        <v>182</v>
      </c>
      <c r="AV31" s="82" t="s">
        <v>182</v>
      </c>
      <c r="AW31" s="82" t="s">
        <v>175</v>
      </c>
      <c r="AX31" s="82" t="s">
        <v>182</v>
      </c>
      <c r="AY31" s="82" t="s">
        <v>182</v>
      </c>
      <c r="AZ31" s="82" t="s">
        <v>182</v>
      </c>
    </row>
    <row r="32" spans="1:52" s="5" customFormat="1" ht="49.5" customHeight="1" x14ac:dyDescent="0.2">
      <c r="A32" s="68" t="s">
        <v>24</v>
      </c>
      <c r="B32" s="69" t="s">
        <v>174</v>
      </c>
      <c r="C32" s="85"/>
      <c r="D32" s="69" t="s">
        <v>11</v>
      </c>
      <c r="E32" s="69" t="s">
        <v>81</v>
      </c>
      <c r="F32" s="72" t="str">
        <f>VLOOKUP(E32,Population!B:D,2,FALSE)</f>
        <v>Outer Suburb</v>
      </c>
      <c r="G32" s="153">
        <f>VLOOKUP(E32,Population!B:D,3,FALSE)</f>
        <v>53702</v>
      </c>
      <c r="H32" s="99">
        <v>1.2</v>
      </c>
      <c r="I32" s="99">
        <v>2.2000000000000002</v>
      </c>
      <c r="J32" s="99">
        <v>1</v>
      </c>
      <c r="K32" s="99">
        <v>3</v>
      </c>
      <c r="L32" s="99">
        <v>0.33</v>
      </c>
      <c r="M32" s="74" t="s">
        <v>176</v>
      </c>
      <c r="N32" s="73" t="s">
        <v>187</v>
      </c>
      <c r="O32" s="74" t="s">
        <v>176</v>
      </c>
      <c r="P32" s="115">
        <v>3.33</v>
      </c>
      <c r="Q32" s="115">
        <v>5</v>
      </c>
      <c r="R32" s="115" t="s">
        <v>176</v>
      </c>
      <c r="S32" s="75" t="s">
        <v>281</v>
      </c>
      <c r="T32" s="109">
        <v>3.63</v>
      </c>
      <c r="U32" s="109">
        <v>3.63</v>
      </c>
      <c r="V32" s="109" t="s">
        <v>176</v>
      </c>
      <c r="W32" s="95" t="s">
        <v>176</v>
      </c>
      <c r="X32" s="103" t="s">
        <v>176</v>
      </c>
      <c r="Y32" s="79" t="s">
        <v>282</v>
      </c>
      <c r="Z32" s="88" t="s">
        <v>174</v>
      </c>
      <c r="AA32" s="88"/>
      <c r="AB32" s="88" t="s">
        <v>182</v>
      </c>
      <c r="AC32" s="88" t="s">
        <v>174</v>
      </c>
      <c r="AD32" s="88" t="s">
        <v>182</v>
      </c>
      <c r="AE32" s="88"/>
      <c r="AF32" s="88" t="s">
        <v>174</v>
      </c>
      <c r="AG32" s="88" t="s">
        <v>182</v>
      </c>
      <c r="AH32" s="88" t="s">
        <v>182</v>
      </c>
      <c r="AI32" s="88" t="s">
        <v>174</v>
      </c>
      <c r="AJ32" s="88" t="s">
        <v>182</v>
      </c>
      <c r="AK32" s="88" t="s">
        <v>174</v>
      </c>
      <c r="AL32" s="88" t="s">
        <v>174</v>
      </c>
      <c r="AM32" s="92"/>
      <c r="AN32" s="92"/>
      <c r="AO32" s="92"/>
      <c r="AP32" s="156" t="s">
        <v>174</v>
      </c>
      <c r="AQ32" s="92"/>
      <c r="AR32" s="97"/>
      <c r="AS32" s="97"/>
      <c r="AT32" s="97"/>
      <c r="AU32" s="97"/>
      <c r="AV32" s="76" t="s">
        <v>174</v>
      </c>
      <c r="AW32" s="76" t="s">
        <v>283</v>
      </c>
      <c r="AX32" s="76" t="s">
        <v>284</v>
      </c>
      <c r="AY32" s="76" t="s">
        <v>174</v>
      </c>
      <c r="AZ32" s="76" t="s">
        <v>284</v>
      </c>
    </row>
    <row r="33" spans="1:52" s="5" customFormat="1" ht="49.5" customHeight="1" x14ac:dyDescent="0.2">
      <c r="A33" s="68" t="s">
        <v>9</v>
      </c>
      <c r="B33" s="69" t="s">
        <v>174</v>
      </c>
      <c r="C33" s="56">
        <v>44217</v>
      </c>
      <c r="D33" s="69" t="s">
        <v>4</v>
      </c>
      <c r="E33" s="71" t="s">
        <v>110</v>
      </c>
      <c r="F33" s="72" t="str">
        <f>VLOOKUP(E33,Population!B:D,2,FALSE)</f>
        <v>Urban Center</v>
      </c>
      <c r="G33" s="153">
        <f>VLOOKUP(E33,Population!B:D,3,FALSE)</f>
        <v>433697</v>
      </c>
      <c r="H33" s="100">
        <v>0.5</v>
      </c>
      <c r="I33" s="99">
        <v>2</v>
      </c>
      <c r="J33" s="99" t="s">
        <v>196</v>
      </c>
      <c r="K33" s="99">
        <v>1.25</v>
      </c>
      <c r="L33" s="99" t="s">
        <v>197</v>
      </c>
      <c r="M33" s="74" t="s">
        <v>176</v>
      </c>
      <c r="N33" s="73" t="s">
        <v>198</v>
      </c>
      <c r="O33" s="74" t="s">
        <v>175</v>
      </c>
      <c r="P33" s="115">
        <f>1/600*1000</f>
        <v>1.6666666666666667</v>
      </c>
      <c r="Q33" s="115">
        <v>1</v>
      </c>
      <c r="R33" s="115">
        <v>3.3</v>
      </c>
      <c r="S33" s="77" t="s">
        <v>197</v>
      </c>
      <c r="T33" s="109">
        <v>1</v>
      </c>
      <c r="U33" s="109">
        <f>1/600*1000</f>
        <v>1.6666666666666667</v>
      </c>
      <c r="V33" s="109">
        <f>1/300*1000</f>
        <v>3.3333333333333335</v>
      </c>
      <c r="W33" s="96" t="s">
        <v>197</v>
      </c>
      <c r="X33" s="102" t="s">
        <v>197</v>
      </c>
      <c r="Y33" s="76" t="s">
        <v>199</v>
      </c>
      <c r="Z33" s="88" t="s">
        <v>174</v>
      </c>
      <c r="AA33" s="88" t="s">
        <v>182</v>
      </c>
      <c r="AB33" s="88" t="s">
        <v>174</v>
      </c>
      <c r="AC33" s="88" t="s">
        <v>182</v>
      </c>
      <c r="AD33" s="88" t="s">
        <v>174</v>
      </c>
      <c r="AE33" s="88" t="s">
        <v>174</v>
      </c>
      <c r="AF33" s="88" t="s">
        <v>174</v>
      </c>
      <c r="AG33" s="88" t="s">
        <v>182</v>
      </c>
      <c r="AH33" s="88" t="s">
        <v>174</v>
      </c>
      <c r="AI33" s="88" t="s">
        <v>174</v>
      </c>
      <c r="AJ33" s="88" t="s">
        <v>174</v>
      </c>
      <c r="AK33" s="88" t="s">
        <v>174</v>
      </c>
      <c r="AL33" s="88" t="s">
        <v>174</v>
      </c>
      <c r="AM33" s="92" t="s">
        <v>174</v>
      </c>
      <c r="AN33" s="92" t="s">
        <v>174</v>
      </c>
      <c r="AO33" s="92" t="s">
        <v>182</v>
      </c>
      <c r="AP33" s="92" t="s">
        <v>182</v>
      </c>
      <c r="AQ33" s="92" t="s">
        <v>182</v>
      </c>
      <c r="AR33" s="97" t="s">
        <v>174</v>
      </c>
      <c r="AS33" s="98" t="s">
        <v>174</v>
      </c>
      <c r="AT33" s="97" t="s">
        <v>182</v>
      </c>
      <c r="AU33" s="98" t="s">
        <v>174</v>
      </c>
      <c r="AV33" s="76" t="s">
        <v>174</v>
      </c>
      <c r="AW33" s="76" t="s">
        <v>200</v>
      </c>
      <c r="AX33" s="76" t="s">
        <v>182</v>
      </c>
      <c r="AY33" s="76" t="s">
        <v>182</v>
      </c>
      <c r="AZ33" s="76" t="s">
        <v>182</v>
      </c>
    </row>
    <row r="34" spans="1:52" s="5" customFormat="1" ht="49.5" customHeight="1" x14ac:dyDescent="0.2">
      <c r="A34" s="68" t="s">
        <v>9</v>
      </c>
      <c r="B34" s="69" t="s">
        <v>174</v>
      </c>
      <c r="C34" s="86"/>
      <c r="D34" s="69" t="s">
        <v>9</v>
      </c>
      <c r="E34" s="70" t="s">
        <v>93</v>
      </c>
      <c r="F34" s="72" t="str">
        <f>VLOOKUP(E34,Population!B:D,2,FALSE)</f>
        <v>Outer Suburb</v>
      </c>
      <c r="G34" s="153">
        <f>VLOOKUP(E34,Population!B:D,3,FALSE)</f>
        <v>19009</v>
      </c>
      <c r="H34" s="99">
        <v>1</v>
      </c>
      <c r="I34" s="99">
        <v>4</v>
      </c>
      <c r="J34" s="99" t="s">
        <v>196</v>
      </c>
      <c r="K34" s="99" t="s">
        <v>197</v>
      </c>
      <c r="L34" s="99">
        <v>0.25</v>
      </c>
      <c r="M34" s="74" t="s">
        <v>186</v>
      </c>
      <c r="N34" s="73" t="s">
        <v>187</v>
      </c>
      <c r="O34" s="74" t="s">
        <v>197</v>
      </c>
      <c r="P34" s="115">
        <v>4</v>
      </c>
      <c r="Q34" s="115">
        <v>4</v>
      </c>
      <c r="R34" s="115" t="s">
        <v>197</v>
      </c>
      <c r="S34" s="75" t="s">
        <v>197</v>
      </c>
      <c r="T34" s="109">
        <v>4</v>
      </c>
      <c r="U34" s="109">
        <v>4</v>
      </c>
      <c r="V34" s="109" t="s">
        <v>197</v>
      </c>
      <c r="W34" s="95" t="s">
        <v>197</v>
      </c>
      <c r="X34" s="103" t="s">
        <v>197</v>
      </c>
      <c r="Y34" s="79" t="s">
        <v>197</v>
      </c>
      <c r="Z34" s="88" t="s">
        <v>182</v>
      </c>
      <c r="AA34" s="88"/>
      <c r="AB34" s="88" t="s">
        <v>182</v>
      </c>
      <c r="AC34" s="88" t="s">
        <v>174</v>
      </c>
      <c r="AD34" s="88" t="s">
        <v>182</v>
      </c>
      <c r="AE34" s="88"/>
      <c r="AF34" s="88" t="s">
        <v>182</v>
      </c>
      <c r="AG34" s="88" t="s">
        <v>182</v>
      </c>
      <c r="AH34" s="88" t="s">
        <v>182</v>
      </c>
      <c r="AI34" s="88" t="s">
        <v>182</v>
      </c>
      <c r="AJ34" s="88" t="s">
        <v>182</v>
      </c>
      <c r="AK34" s="88" t="s">
        <v>182</v>
      </c>
      <c r="AL34" s="88" t="s">
        <v>182</v>
      </c>
      <c r="AM34" s="92"/>
      <c r="AN34" s="92"/>
      <c r="AO34" s="92"/>
      <c r="AP34" s="92"/>
      <c r="AQ34" s="92"/>
      <c r="AR34" s="97"/>
      <c r="AS34" s="97"/>
      <c r="AT34" s="97"/>
      <c r="AU34" s="97"/>
      <c r="AV34" s="76" t="s">
        <v>174</v>
      </c>
      <c r="AW34" s="76" t="s">
        <v>336</v>
      </c>
      <c r="AX34" s="76" t="s">
        <v>182</v>
      </c>
      <c r="AY34" s="76" t="s">
        <v>182</v>
      </c>
      <c r="AZ34" s="76" t="s">
        <v>182</v>
      </c>
    </row>
    <row r="35" spans="1:52" s="5" customFormat="1" ht="49.5" customHeight="1" x14ac:dyDescent="0.2">
      <c r="A35" s="68"/>
      <c r="B35" s="69" t="s">
        <v>174</v>
      </c>
      <c r="C35" s="85"/>
      <c r="D35" s="69" t="s">
        <v>48</v>
      </c>
      <c r="E35" s="69" t="s">
        <v>107</v>
      </c>
      <c r="F35" s="72" t="str">
        <f>VLOOKUP(E35,Population!B:D,2,FALSE)</f>
        <v>Urban Area</v>
      </c>
      <c r="G35" s="153">
        <f>VLOOKUP(E35,Population!B:D,3,FALSE)</f>
        <v>69226</v>
      </c>
      <c r="H35" s="99">
        <v>1.25</v>
      </c>
      <c r="I35" s="99">
        <v>4</v>
      </c>
      <c r="J35" s="99">
        <v>1</v>
      </c>
      <c r="K35" s="99" t="s">
        <v>176</v>
      </c>
      <c r="L35" s="99">
        <v>1.125</v>
      </c>
      <c r="M35" s="74" t="s">
        <v>252</v>
      </c>
      <c r="N35" s="73" t="s">
        <v>249</v>
      </c>
      <c r="O35" s="74" t="s">
        <v>253</v>
      </c>
      <c r="P35" s="115">
        <v>2</v>
      </c>
      <c r="Q35" s="115">
        <v>5</v>
      </c>
      <c r="R35" s="115" t="s">
        <v>176</v>
      </c>
      <c r="S35" s="75" t="s">
        <v>254</v>
      </c>
      <c r="T35" s="109">
        <v>3.33</v>
      </c>
      <c r="U35" s="109">
        <v>4</v>
      </c>
      <c r="V35" s="109" t="s">
        <v>176</v>
      </c>
      <c r="W35" s="95" t="s">
        <v>255</v>
      </c>
      <c r="X35" s="103" t="s">
        <v>176</v>
      </c>
      <c r="Y35" s="79" t="s">
        <v>176</v>
      </c>
      <c r="Z35" s="88" t="s">
        <v>174</v>
      </c>
      <c r="AA35" s="88"/>
      <c r="AB35" s="88" t="s">
        <v>182</v>
      </c>
      <c r="AC35" s="88" t="s">
        <v>174</v>
      </c>
      <c r="AD35" s="88" t="s">
        <v>174</v>
      </c>
      <c r="AE35" s="88"/>
      <c r="AF35" s="88" t="s">
        <v>174</v>
      </c>
      <c r="AG35" s="88" t="s">
        <v>182</v>
      </c>
      <c r="AH35" s="88" t="s">
        <v>174</v>
      </c>
      <c r="AI35" s="88" t="s">
        <v>174</v>
      </c>
      <c r="AJ35" s="88" t="s">
        <v>174</v>
      </c>
      <c r="AK35" s="88" t="s">
        <v>174</v>
      </c>
      <c r="AL35" s="88" t="s">
        <v>174</v>
      </c>
      <c r="AM35" s="92"/>
      <c r="AN35" s="92"/>
      <c r="AO35" s="92"/>
      <c r="AP35" s="156" t="s">
        <v>174</v>
      </c>
      <c r="AQ35" s="92"/>
      <c r="AR35" s="97"/>
      <c r="AS35" s="97"/>
      <c r="AT35" s="97"/>
      <c r="AU35" s="97"/>
      <c r="AV35" s="76" t="s">
        <v>174</v>
      </c>
      <c r="AW35" s="76"/>
      <c r="AX35" s="76" t="s">
        <v>256</v>
      </c>
      <c r="AY35" s="76" t="s">
        <v>182</v>
      </c>
      <c r="AZ35" s="76" t="s">
        <v>257</v>
      </c>
    </row>
    <row r="36" spans="1:52" s="5" customFormat="1" ht="49.5" customHeight="1" x14ac:dyDescent="0.2">
      <c r="A36" s="68" t="s">
        <v>4</v>
      </c>
      <c r="B36" s="69" t="s">
        <v>174</v>
      </c>
      <c r="C36" s="55">
        <v>44250</v>
      </c>
      <c r="D36" s="69" t="s">
        <v>42</v>
      </c>
      <c r="E36" s="71" t="s">
        <v>66</v>
      </c>
      <c r="F36" s="72" t="str">
        <f>VLOOKUP(E36,Population!B:D,2,FALSE)</f>
        <v>Core Suburb</v>
      </c>
      <c r="G36" s="153">
        <f>VLOOKUP(E36,Population!B:D,3,FALSE)</f>
        <v>61873</v>
      </c>
      <c r="H36" s="99">
        <v>1</v>
      </c>
      <c r="I36" s="99">
        <v>2</v>
      </c>
      <c r="J36" s="99" t="s">
        <v>196</v>
      </c>
      <c r="K36" s="99" t="s">
        <v>176</v>
      </c>
      <c r="L36" s="99" t="s">
        <v>176</v>
      </c>
      <c r="M36" s="74" t="s">
        <v>176</v>
      </c>
      <c r="N36" s="73" t="s">
        <v>236</v>
      </c>
      <c r="O36" s="74" t="s">
        <v>262</v>
      </c>
      <c r="P36" s="115">
        <f>1/300*1000</f>
        <v>3.3333333333333335</v>
      </c>
      <c r="Q36" s="115">
        <f>1/300*1000</f>
        <v>3.3333333333333335</v>
      </c>
      <c r="R36" s="115" t="s">
        <v>176</v>
      </c>
      <c r="S36" s="77" t="s">
        <v>230</v>
      </c>
      <c r="T36" s="109">
        <f>1/300*1000</f>
        <v>3.3333333333333335</v>
      </c>
      <c r="U36" s="109">
        <f>1/300*1000</f>
        <v>3.3333333333333335</v>
      </c>
      <c r="V36" s="109" t="s">
        <v>176</v>
      </c>
      <c r="W36" s="96" t="s">
        <v>230</v>
      </c>
      <c r="X36" s="102"/>
      <c r="Y36" s="76" t="s">
        <v>175</v>
      </c>
      <c r="Z36" s="88" t="s">
        <v>182</v>
      </c>
      <c r="AA36" s="88" t="s">
        <v>182</v>
      </c>
      <c r="AB36" s="88" t="s">
        <v>174</v>
      </c>
      <c r="AC36" s="88" t="s">
        <v>174</v>
      </c>
      <c r="AD36" s="88" t="s">
        <v>182</v>
      </c>
      <c r="AE36" s="88" t="s">
        <v>182</v>
      </c>
      <c r="AF36" s="88" t="s">
        <v>182</v>
      </c>
      <c r="AG36" s="88" t="s">
        <v>182</v>
      </c>
      <c r="AH36" s="88" t="s">
        <v>182</v>
      </c>
      <c r="AI36" s="88" t="s">
        <v>182</v>
      </c>
      <c r="AJ36" s="88" t="s">
        <v>182</v>
      </c>
      <c r="AK36" s="88" t="s">
        <v>182</v>
      </c>
      <c r="AL36" s="88" t="s">
        <v>182</v>
      </c>
      <c r="AM36" s="92" t="s">
        <v>174</v>
      </c>
      <c r="AN36" s="92" t="s">
        <v>174</v>
      </c>
      <c r="AO36" s="92" t="s">
        <v>182</v>
      </c>
      <c r="AP36" s="92" t="s">
        <v>182</v>
      </c>
      <c r="AQ36" s="92" t="s">
        <v>182</v>
      </c>
      <c r="AR36" s="97" t="s">
        <v>182</v>
      </c>
      <c r="AS36" s="97" t="s">
        <v>174</v>
      </c>
      <c r="AT36" s="97" t="s">
        <v>174</v>
      </c>
      <c r="AU36" s="97" t="s">
        <v>182</v>
      </c>
      <c r="AV36" s="76" t="s">
        <v>174</v>
      </c>
      <c r="AW36" s="76" t="s">
        <v>278</v>
      </c>
      <c r="AX36" s="76" t="s">
        <v>182</v>
      </c>
      <c r="AY36" s="76" t="s">
        <v>182</v>
      </c>
      <c r="AZ36" s="76" t="s">
        <v>182</v>
      </c>
    </row>
    <row r="37" spans="1:52" s="5" customFormat="1" ht="49.5" customHeight="1" x14ac:dyDescent="0.2">
      <c r="A37" s="68" t="s">
        <v>48</v>
      </c>
      <c r="B37" s="69" t="s">
        <v>174</v>
      </c>
      <c r="C37" s="86"/>
      <c r="D37" s="69" t="s">
        <v>9</v>
      </c>
      <c r="E37" s="70" t="s">
        <v>94</v>
      </c>
      <c r="F37" s="72" t="str">
        <f>VLOOKUP(E37,Population!B:D,2,FALSE)</f>
        <v>Outer Suburb</v>
      </c>
      <c r="G37" s="153">
        <f>VLOOKUP(E37,Population!B:D,3,FALSE)</f>
        <v>19505</v>
      </c>
      <c r="H37" s="99">
        <v>1</v>
      </c>
      <c r="I37" s="99">
        <v>3</v>
      </c>
      <c r="J37" s="99" t="s">
        <v>196</v>
      </c>
      <c r="K37" s="99" t="s">
        <v>176</v>
      </c>
      <c r="L37" s="99">
        <v>0.3</v>
      </c>
      <c r="M37" s="74" t="s">
        <v>186</v>
      </c>
      <c r="N37" s="73" t="s">
        <v>187</v>
      </c>
      <c r="O37" s="74" t="s">
        <v>176</v>
      </c>
      <c r="P37" s="115">
        <v>2</v>
      </c>
      <c r="Q37" s="115">
        <v>3.3</v>
      </c>
      <c r="R37" s="115" t="s">
        <v>176</v>
      </c>
      <c r="S37" s="75" t="s">
        <v>176</v>
      </c>
      <c r="T37" s="109">
        <v>4</v>
      </c>
      <c r="U37" s="109">
        <v>4</v>
      </c>
      <c r="V37" s="109" t="s">
        <v>176</v>
      </c>
      <c r="W37" s="95" t="s">
        <v>176</v>
      </c>
      <c r="X37" s="103" t="s">
        <v>176</v>
      </c>
      <c r="Y37" s="79" t="s">
        <v>176</v>
      </c>
      <c r="Z37" s="88" t="s">
        <v>174</v>
      </c>
      <c r="AA37" s="88"/>
      <c r="AB37" s="88" t="s">
        <v>182</v>
      </c>
      <c r="AC37" s="88" t="s">
        <v>174</v>
      </c>
      <c r="AD37" s="88" t="s">
        <v>174</v>
      </c>
      <c r="AE37" s="88"/>
      <c r="AF37" s="88" t="s">
        <v>182</v>
      </c>
      <c r="AG37" s="88" t="s">
        <v>182</v>
      </c>
      <c r="AH37" s="88" t="s">
        <v>182</v>
      </c>
      <c r="AI37" s="88" t="s">
        <v>174</v>
      </c>
      <c r="AJ37" s="88" t="s">
        <v>182</v>
      </c>
      <c r="AK37" s="88" t="s">
        <v>182</v>
      </c>
      <c r="AL37" s="88" t="s">
        <v>182</v>
      </c>
      <c r="AM37" s="92"/>
      <c r="AN37" s="92"/>
      <c r="AO37" s="92"/>
      <c r="AP37" s="92"/>
      <c r="AQ37" s="92"/>
      <c r="AR37" s="97"/>
      <c r="AS37" s="97"/>
      <c r="AT37" s="97"/>
      <c r="AU37" s="97"/>
      <c r="AV37" s="76" t="s">
        <v>174</v>
      </c>
      <c r="AW37" s="76" t="s">
        <v>214</v>
      </c>
      <c r="AX37" s="76" t="s">
        <v>277</v>
      </c>
      <c r="AY37" s="76" t="s">
        <v>182</v>
      </c>
      <c r="AZ37" s="76" t="s">
        <v>182</v>
      </c>
    </row>
    <row r="38" spans="1:52" s="5" customFormat="1" ht="49.5" customHeight="1" x14ac:dyDescent="0.2">
      <c r="A38" s="68" t="s">
        <v>9</v>
      </c>
      <c r="B38" s="69" t="s">
        <v>174</v>
      </c>
      <c r="C38" s="56">
        <v>44227</v>
      </c>
      <c r="D38" s="69" t="s">
        <v>9</v>
      </c>
      <c r="E38" s="71" t="s">
        <v>95</v>
      </c>
      <c r="F38" s="72" t="str">
        <f>VLOOKUP(E38,Population!B:D,2,FALSE)</f>
        <v>Outer Suburb</v>
      </c>
      <c r="G38" s="153">
        <f>VLOOKUP(E38,Population!B:D,3,FALSE)</f>
        <v>74321</v>
      </c>
      <c r="H38" s="99">
        <v>1</v>
      </c>
      <c r="I38" s="99">
        <v>2</v>
      </c>
      <c r="J38" s="99">
        <v>1</v>
      </c>
      <c r="K38" s="99" t="s">
        <v>197</v>
      </c>
      <c r="L38" s="99" t="s">
        <v>197</v>
      </c>
      <c r="M38" s="74" t="s">
        <v>176</v>
      </c>
      <c r="N38" s="73" t="s">
        <v>198</v>
      </c>
      <c r="O38" s="74" t="s">
        <v>197</v>
      </c>
      <c r="P38" s="115">
        <v>1</v>
      </c>
      <c r="Q38" s="115">
        <f>1/150*1000</f>
        <v>6.666666666666667</v>
      </c>
      <c r="R38" s="115" t="s">
        <v>197</v>
      </c>
      <c r="S38" s="77" t="s">
        <v>197</v>
      </c>
      <c r="T38" s="109">
        <v>4</v>
      </c>
      <c r="U38" s="109">
        <v>4</v>
      </c>
      <c r="V38" s="109" t="s">
        <v>197</v>
      </c>
      <c r="W38" s="96" t="s">
        <v>197</v>
      </c>
      <c r="X38" s="102" t="s">
        <v>197</v>
      </c>
      <c r="Y38" s="76" t="s">
        <v>197</v>
      </c>
      <c r="Z38" s="88" t="s">
        <v>174</v>
      </c>
      <c r="AA38" s="88" t="s">
        <v>182</v>
      </c>
      <c r="AB38" s="88" t="s">
        <v>182</v>
      </c>
      <c r="AC38" s="88" t="s">
        <v>174</v>
      </c>
      <c r="AD38" s="88" t="s">
        <v>174</v>
      </c>
      <c r="AE38" s="88" t="s">
        <v>182</v>
      </c>
      <c r="AF38" s="88" t="s">
        <v>174</v>
      </c>
      <c r="AG38" s="88" t="s">
        <v>182</v>
      </c>
      <c r="AH38" s="88" t="s">
        <v>182</v>
      </c>
      <c r="AI38" s="88" t="s">
        <v>182</v>
      </c>
      <c r="AJ38" s="88" t="s">
        <v>182</v>
      </c>
      <c r="AK38" s="88" t="s">
        <v>182</v>
      </c>
      <c r="AL38" s="88" t="s">
        <v>182</v>
      </c>
      <c r="AM38" s="92" t="s">
        <v>174</v>
      </c>
      <c r="AN38" s="92" t="s">
        <v>182</v>
      </c>
      <c r="AO38" s="92" t="s">
        <v>182</v>
      </c>
      <c r="AP38" s="92" t="s">
        <v>182</v>
      </c>
      <c r="AQ38" s="92" t="s">
        <v>182</v>
      </c>
      <c r="AR38" s="97" t="s">
        <v>174</v>
      </c>
      <c r="AS38" s="97" t="s">
        <v>174</v>
      </c>
      <c r="AT38" s="97" t="s">
        <v>182</v>
      </c>
      <c r="AU38" s="97" t="s">
        <v>182</v>
      </c>
      <c r="AV38" s="76" t="s">
        <v>174</v>
      </c>
      <c r="AW38" s="76" t="s">
        <v>299</v>
      </c>
      <c r="AX38" s="76" t="s">
        <v>182</v>
      </c>
      <c r="AY38" s="76" t="s">
        <v>182</v>
      </c>
      <c r="AZ38" s="76" t="s">
        <v>182</v>
      </c>
    </row>
    <row r="39" spans="1:52" s="5" customFormat="1" ht="49.5" customHeight="1" x14ac:dyDescent="0.2">
      <c r="A39" s="68" t="s">
        <v>4</v>
      </c>
      <c r="B39" s="69" t="s">
        <v>174</v>
      </c>
      <c r="C39" s="56">
        <v>44290</v>
      </c>
      <c r="D39" s="69" t="s">
        <v>9</v>
      </c>
      <c r="E39" s="71" t="s">
        <v>59</v>
      </c>
      <c r="F39" s="72" t="str">
        <f>VLOOKUP(E39,Population!B:D,2,FALSE)</f>
        <v>Core Suburb</v>
      </c>
      <c r="G39" s="153">
        <f>VLOOKUP(E39,Population!B:D,3,FALSE)</f>
        <v>34267</v>
      </c>
      <c r="H39" s="99">
        <v>1.5</v>
      </c>
      <c r="I39" s="99">
        <v>2.5</v>
      </c>
      <c r="J39" s="99" t="s">
        <v>196</v>
      </c>
      <c r="K39" s="99" t="s">
        <v>197</v>
      </c>
      <c r="L39" s="99">
        <v>0.5</v>
      </c>
      <c r="M39" s="74" t="s">
        <v>186</v>
      </c>
      <c r="N39" s="73" t="s">
        <v>187</v>
      </c>
      <c r="O39" s="74" t="s">
        <v>197</v>
      </c>
      <c r="P39" s="115">
        <v>4</v>
      </c>
      <c r="Q39" s="115">
        <v>4</v>
      </c>
      <c r="R39" s="115" t="s">
        <v>197</v>
      </c>
      <c r="S39" s="77" t="s">
        <v>197</v>
      </c>
      <c r="T39" s="109">
        <f>1/400*1000</f>
        <v>2.5</v>
      </c>
      <c r="U39" s="109">
        <f>1/200*1000</f>
        <v>5</v>
      </c>
      <c r="V39" s="109" t="s">
        <v>175</v>
      </c>
      <c r="W39" s="96" t="s">
        <v>197</v>
      </c>
      <c r="X39" s="102" t="s">
        <v>197</v>
      </c>
      <c r="Y39" s="76" t="s">
        <v>197</v>
      </c>
      <c r="Z39" s="88" t="s">
        <v>174</v>
      </c>
      <c r="AA39" s="88" t="s">
        <v>182</v>
      </c>
      <c r="AB39" s="88" t="s">
        <v>182</v>
      </c>
      <c r="AC39" s="88" t="s">
        <v>174</v>
      </c>
      <c r="AD39" s="88" t="s">
        <v>174</v>
      </c>
      <c r="AE39" s="88" t="s">
        <v>182</v>
      </c>
      <c r="AF39" s="88" t="s">
        <v>182</v>
      </c>
      <c r="AG39" s="88" t="s">
        <v>182</v>
      </c>
      <c r="AH39" s="88" t="s">
        <v>182</v>
      </c>
      <c r="AI39" s="88" t="s">
        <v>182</v>
      </c>
      <c r="AJ39" s="88" t="s">
        <v>182</v>
      </c>
      <c r="AK39" s="88" t="s">
        <v>182</v>
      </c>
      <c r="AL39" s="88" t="s">
        <v>182</v>
      </c>
      <c r="AM39" s="92" t="s">
        <v>182</v>
      </c>
      <c r="AN39" s="92" t="s">
        <v>182</v>
      </c>
      <c r="AO39" s="92" t="s">
        <v>182</v>
      </c>
      <c r="AP39" s="92" t="s">
        <v>182</v>
      </c>
      <c r="AQ39" s="92" t="s">
        <v>182</v>
      </c>
      <c r="AR39" s="97" t="s">
        <v>182</v>
      </c>
      <c r="AS39" s="97" t="s">
        <v>182</v>
      </c>
      <c r="AT39" s="97" t="s">
        <v>182</v>
      </c>
      <c r="AU39" s="97" t="s">
        <v>182</v>
      </c>
      <c r="AV39" s="76" t="s">
        <v>174</v>
      </c>
      <c r="AW39" s="76" t="s">
        <v>310</v>
      </c>
      <c r="AX39" s="76" t="s">
        <v>182</v>
      </c>
      <c r="AY39" s="76" t="s">
        <v>174</v>
      </c>
      <c r="AZ39" s="76" t="s">
        <v>182</v>
      </c>
    </row>
    <row r="40" spans="1:52" s="5" customFormat="1" ht="49.5" customHeight="1" x14ac:dyDescent="0.2">
      <c r="A40" s="68" t="s">
        <v>210</v>
      </c>
      <c r="B40" s="69" t="s">
        <v>174</v>
      </c>
      <c r="C40" s="86"/>
      <c r="D40" s="69" t="s">
        <v>4</v>
      </c>
      <c r="E40" s="70" t="s">
        <v>77</v>
      </c>
      <c r="F40" s="72" t="str">
        <f>VLOOKUP(E40,Population!B:D,2,FALSE)</f>
        <v>Outer Suburb</v>
      </c>
      <c r="G40" s="153">
        <f>VLOOKUP(E40,Population!B:D,3,FALSE)</f>
        <v>79464</v>
      </c>
      <c r="H40" s="99">
        <v>2</v>
      </c>
      <c r="I40" s="99">
        <v>2</v>
      </c>
      <c r="J40" s="99" t="s">
        <v>176</v>
      </c>
      <c r="K40" s="99" t="s">
        <v>175</v>
      </c>
      <c r="L40" s="99">
        <v>0.14000000000000001</v>
      </c>
      <c r="M40" s="74" t="s">
        <v>176</v>
      </c>
      <c r="N40" s="73" t="s">
        <v>245</v>
      </c>
      <c r="O40" s="74" t="s">
        <v>176</v>
      </c>
      <c r="P40" s="115">
        <v>2</v>
      </c>
      <c r="Q40" s="115">
        <v>3.33</v>
      </c>
      <c r="R40" s="115" t="s">
        <v>197</v>
      </c>
      <c r="S40" s="75"/>
      <c r="T40" s="109">
        <v>3.33</v>
      </c>
      <c r="U40" s="109">
        <v>6.66</v>
      </c>
      <c r="V40" s="109" t="s">
        <v>176</v>
      </c>
      <c r="W40" s="95" t="s">
        <v>176</v>
      </c>
      <c r="X40" s="103" t="s">
        <v>176</v>
      </c>
      <c r="Y40" s="79" t="s">
        <v>176</v>
      </c>
      <c r="Z40" s="88" t="s">
        <v>174</v>
      </c>
      <c r="AA40" s="88"/>
      <c r="AB40" s="88" t="s">
        <v>174</v>
      </c>
      <c r="AC40" s="88" t="s">
        <v>182</v>
      </c>
      <c r="AD40" s="88" t="s">
        <v>182</v>
      </c>
      <c r="AE40" s="88"/>
      <c r="AF40" s="88" t="s">
        <v>174</v>
      </c>
      <c r="AG40" s="88" t="s">
        <v>182</v>
      </c>
      <c r="AH40" s="88" t="s">
        <v>182</v>
      </c>
      <c r="AI40" s="88" t="s">
        <v>174</v>
      </c>
      <c r="AJ40" s="88" t="s">
        <v>182</v>
      </c>
      <c r="AK40" s="88" t="s">
        <v>174</v>
      </c>
      <c r="AL40" s="88" t="s">
        <v>174</v>
      </c>
      <c r="AM40" s="92"/>
      <c r="AN40" s="92"/>
      <c r="AO40" s="92"/>
      <c r="AP40" s="92"/>
      <c r="AQ40" s="92"/>
      <c r="AR40" s="97"/>
      <c r="AS40" s="97"/>
      <c r="AT40" s="97"/>
      <c r="AU40" s="97"/>
      <c r="AV40" s="76" t="s">
        <v>182</v>
      </c>
      <c r="AW40" s="76"/>
      <c r="AX40" s="76" t="s">
        <v>182</v>
      </c>
      <c r="AY40" s="76" t="s">
        <v>182</v>
      </c>
      <c r="AZ40" s="76" t="s">
        <v>182</v>
      </c>
    </row>
    <row r="41" spans="1:52" s="5" customFormat="1" ht="49.5" customHeight="1" x14ac:dyDescent="0.2">
      <c r="A41" s="68" t="s">
        <v>24</v>
      </c>
      <c r="B41" s="69" t="s">
        <v>174</v>
      </c>
      <c r="C41" s="55">
        <v>44234</v>
      </c>
      <c r="D41" s="69" t="s">
        <v>24</v>
      </c>
      <c r="E41" s="71" t="s">
        <v>61</v>
      </c>
      <c r="F41" s="72" t="str">
        <f>VLOOKUP(E41,Population!B:D,2,FALSE)</f>
        <v>Core Suburb</v>
      </c>
      <c r="G41" s="153">
        <f>VLOOKUP(E41,Population!B:D,3,FALSE)</f>
        <v>86754</v>
      </c>
      <c r="H41" s="99">
        <v>2</v>
      </c>
      <c r="I41" s="99">
        <v>2</v>
      </c>
      <c r="J41" s="99" t="s">
        <v>196</v>
      </c>
      <c r="K41" s="99" t="s">
        <v>175</v>
      </c>
      <c r="L41" s="99">
        <v>0.25</v>
      </c>
      <c r="M41" s="74" t="s">
        <v>186</v>
      </c>
      <c r="N41" s="73" t="s">
        <v>337</v>
      </c>
      <c r="O41" s="74" t="s">
        <v>338</v>
      </c>
      <c r="P41" s="115">
        <v>5</v>
      </c>
      <c r="Q41" s="115">
        <v>5</v>
      </c>
      <c r="R41" s="115" t="s">
        <v>176</v>
      </c>
      <c r="S41" s="77" t="s">
        <v>176</v>
      </c>
      <c r="T41" s="109">
        <f>1/300*1000</f>
        <v>3.3333333333333335</v>
      </c>
      <c r="U41" s="109">
        <v>4</v>
      </c>
      <c r="V41" s="109" t="s">
        <v>176</v>
      </c>
      <c r="W41" s="96" t="s">
        <v>339</v>
      </c>
      <c r="X41" s="102" t="s">
        <v>340</v>
      </c>
      <c r="Y41" s="82" t="s">
        <v>341</v>
      </c>
      <c r="Z41" s="88" t="s">
        <v>174</v>
      </c>
      <c r="AA41" s="88" t="s">
        <v>182</v>
      </c>
      <c r="AB41" s="88" t="s">
        <v>174</v>
      </c>
      <c r="AC41" s="88" t="s">
        <v>174</v>
      </c>
      <c r="AD41" s="88" t="s">
        <v>182</v>
      </c>
      <c r="AE41" s="88" t="s">
        <v>174</v>
      </c>
      <c r="AF41" s="88" t="s">
        <v>174</v>
      </c>
      <c r="AG41" s="88" t="s">
        <v>182</v>
      </c>
      <c r="AH41" s="88" t="s">
        <v>182</v>
      </c>
      <c r="AI41" s="88" t="s">
        <v>182</v>
      </c>
      <c r="AJ41" s="88" t="s">
        <v>182</v>
      </c>
      <c r="AK41" s="88" t="s">
        <v>174</v>
      </c>
      <c r="AL41" s="88" t="s">
        <v>174</v>
      </c>
      <c r="AM41" s="92" t="s">
        <v>174</v>
      </c>
      <c r="AN41" s="92" t="s">
        <v>174</v>
      </c>
      <c r="AO41" s="92" t="s">
        <v>174</v>
      </c>
      <c r="AP41" s="156" t="s">
        <v>174</v>
      </c>
      <c r="AQ41" s="92" t="s">
        <v>174</v>
      </c>
      <c r="AR41" s="97" t="s">
        <v>182</v>
      </c>
      <c r="AS41" s="97" t="s">
        <v>182</v>
      </c>
      <c r="AT41" s="97" t="s">
        <v>182</v>
      </c>
      <c r="AU41" s="97" t="s">
        <v>182</v>
      </c>
      <c r="AV41" s="76" t="s">
        <v>174</v>
      </c>
      <c r="AW41" s="76" t="s">
        <v>342</v>
      </c>
      <c r="AX41" s="76" t="s">
        <v>174</v>
      </c>
      <c r="AY41" s="76" t="s">
        <v>174</v>
      </c>
      <c r="AZ41" s="76" t="s">
        <v>174</v>
      </c>
    </row>
    <row r="42" spans="1:52" s="5" customFormat="1" ht="49.5" customHeight="1" x14ac:dyDescent="0.2">
      <c r="A42" s="68" t="s">
        <v>42</v>
      </c>
      <c r="B42" s="69" t="s">
        <v>174</v>
      </c>
      <c r="C42" s="55">
        <v>44234</v>
      </c>
      <c r="D42" s="69" t="s">
        <v>9</v>
      </c>
      <c r="E42" s="71" t="s">
        <v>100</v>
      </c>
      <c r="F42" s="72" t="str">
        <f>VLOOKUP(E42,Population!B:D,2,FALSE)</f>
        <v>Urban Area</v>
      </c>
      <c r="G42" s="153">
        <f>VLOOKUP(E42,Population!B:D,3,FALSE)</f>
        <v>111217</v>
      </c>
      <c r="H42" s="99">
        <v>1</v>
      </c>
      <c r="I42" s="99">
        <v>2</v>
      </c>
      <c r="J42" s="99" t="s">
        <v>175</v>
      </c>
      <c r="K42" s="99" t="s">
        <v>175</v>
      </c>
      <c r="L42" s="99">
        <v>0.2</v>
      </c>
      <c r="M42" s="74" t="s">
        <v>186</v>
      </c>
      <c r="N42" s="73" t="s">
        <v>187</v>
      </c>
      <c r="O42" s="74" t="s">
        <v>176</v>
      </c>
      <c r="P42" s="115">
        <v>3</v>
      </c>
      <c r="Q42" s="115">
        <v>5</v>
      </c>
      <c r="R42" s="115" t="s">
        <v>176</v>
      </c>
      <c r="S42" s="77" t="s">
        <v>176</v>
      </c>
      <c r="T42" s="109">
        <v>2</v>
      </c>
      <c r="U42" s="109">
        <v>2.25</v>
      </c>
      <c r="V42" s="109" t="s">
        <v>176</v>
      </c>
      <c r="W42" s="96" t="s">
        <v>176</v>
      </c>
      <c r="X42" s="102" t="s">
        <v>176</v>
      </c>
      <c r="Y42" s="76" t="s">
        <v>285</v>
      </c>
      <c r="Z42" s="88" t="s">
        <v>174</v>
      </c>
      <c r="AA42" s="88" t="s">
        <v>174</v>
      </c>
      <c r="AB42" s="88" t="s">
        <v>182</v>
      </c>
      <c r="AC42" s="88" t="s">
        <v>174</v>
      </c>
      <c r="AD42" s="88" t="s">
        <v>174</v>
      </c>
      <c r="AE42" s="88" t="s">
        <v>174</v>
      </c>
      <c r="AF42" s="88" t="s">
        <v>182</v>
      </c>
      <c r="AG42" s="88" t="s">
        <v>174</v>
      </c>
      <c r="AH42" s="88" t="s">
        <v>174</v>
      </c>
      <c r="AI42" s="88" t="s">
        <v>174</v>
      </c>
      <c r="AJ42" s="88" t="s">
        <v>174</v>
      </c>
      <c r="AK42" s="88" t="s">
        <v>174</v>
      </c>
      <c r="AL42" s="88" t="s">
        <v>182</v>
      </c>
      <c r="AM42" s="92" t="s">
        <v>174</v>
      </c>
      <c r="AN42" s="92" t="s">
        <v>174</v>
      </c>
      <c r="AO42" s="92" t="s">
        <v>182</v>
      </c>
      <c r="AP42" s="92" t="s">
        <v>182</v>
      </c>
      <c r="AQ42" s="92" t="s">
        <v>182</v>
      </c>
      <c r="AR42" s="97" t="s">
        <v>174</v>
      </c>
      <c r="AS42" s="97" t="s">
        <v>174</v>
      </c>
      <c r="AT42" s="97" t="s">
        <v>174</v>
      </c>
      <c r="AU42" s="97" t="s">
        <v>182</v>
      </c>
      <c r="AV42" s="76" t="s">
        <v>182</v>
      </c>
      <c r="AW42" s="76" t="s">
        <v>175</v>
      </c>
      <c r="AX42" s="76" t="s">
        <v>182</v>
      </c>
      <c r="AY42" s="76" t="s">
        <v>182</v>
      </c>
      <c r="AZ42" s="76" t="s">
        <v>182</v>
      </c>
    </row>
    <row r="43" spans="1:52" s="5" customFormat="1" ht="49.5" customHeight="1" x14ac:dyDescent="0.2">
      <c r="A43" s="68" t="s">
        <v>42</v>
      </c>
      <c r="B43" s="69" t="s">
        <v>174</v>
      </c>
      <c r="C43" s="55">
        <v>44234</v>
      </c>
      <c r="D43" s="69" t="s">
        <v>42</v>
      </c>
      <c r="E43" s="71" t="s">
        <v>84</v>
      </c>
      <c r="F43" s="72" t="str">
        <f>VLOOKUP(E43,Population!B:D,2,FALSE)</f>
        <v>Outer Suburb</v>
      </c>
      <c r="G43" s="153">
        <f>VLOOKUP(E43,Population!B:D,3,FALSE)</f>
        <v>43069</v>
      </c>
      <c r="H43" s="99">
        <v>1</v>
      </c>
      <c r="I43" s="99">
        <v>2.5</v>
      </c>
      <c r="J43" s="99" t="s">
        <v>176</v>
      </c>
      <c r="K43" s="99" t="s">
        <v>176</v>
      </c>
      <c r="L43" s="99">
        <v>0.25</v>
      </c>
      <c r="M43" s="74" t="s">
        <v>176</v>
      </c>
      <c r="N43" s="73" t="s">
        <v>216</v>
      </c>
      <c r="O43" s="74" t="s">
        <v>262</v>
      </c>
      <c r="P43" s="115">
        <f>1*1000/4000</f>
        <v>0.25</v>
      </c>
      <c r="Q43" s="115">
        <f>1*300/100</f>
        <v>3</v>
      </c>
      <c r="R43" s="115" t="s">
        <v>176</v>
      </c>
      <c r="S43" s="77" t="s">
        <v>230</v>
      </c>
      <c r="T43" s="109">
        <f>1*1000/225</f>
        <v>4.4444444444444446</v>
      </c>
      <c r="U43" s="109">
        <f>1*1000/250</f>
        <v>4</v>
      </c>
      <c r="V43" s="109" t="s">
        <v>176</v>
      </c>
      <c r="W43" s="96" t="s">
        <v>230</v>
      </c>
      <c r="X43" s="103" t="s">
        <v>212</v>
      </c>
      <c r="Y43" s="79" t="s">
        <v>263</v>
      </c>
      <c r="Z43" s="88" t="s">
        <v>174</v>
      </c>
      <c r="AA43" s="88" t="s">
        <v>174</v>
      </c>
      <c r="AB43" s="89" t="s">
        <v>174</v>
      </c>
      <c r="AC43" s="88" t="s">
        <v>174</v>
      </c>
      <c r="AD43" s="88" t="s">
        <v>174</v>
      </c>
      <c r="AE43" s="88" t="s">
        <v>182</v>
      </c>
      <c r="AF43" s="88" t="s">
        <v>182</v>
      </c>
      <c r="AG43" s="88" t="s">
        <v>182</v>
      </c>
      <c r="AH43" s="88" t="s">
        <v>182</v>
      </c>
      <c r="AI43" s="88" t="s">
        <v>174</v>
      </c>
      <c r="AJ43" s="88" t="s">
        <v>182</v>
      </c>
      <c r="AK43" s="88" t="s">
        <v>182</v>
      </c>
      <c r="AL43" s="88" t="s">
        <v>182</v>
      </c>
      <c r="AM43" s="92" t="s">
        <v>174</v>
      </c>
      <c r="AN43" s="92" t="s">
        <v>174</v>
      </c>
      <c r="AO43" s="92" t="s">
        <v>182</v>
      </c>
      <c r="AP43" s="92" t="s">
        <v>182</v>
      </c>
      <c r="AQ43" s="92" t="s">
        <v>182</v>
      </c>
      <c r="AR43" s="97" t="s">
        <v>182</v>
      </c>
      <c r="AS43" s="97" t="s">
        <v>174</v>
      </c>
      <c r="AT43" s="97" t="s">
        <v>174</v>
      </c>
      <c r="AU43" s="97" t="s">
        <v>182</v>
      </c>
      <c r="AV43" s="76" t="s">
        <v>174</v>
      </c>
      <c r="AW43" s="76" t="s">
        <v>264</v>
      </c>
      <c r="AX43" s="76" t="s">
        <v>182</v>
      </c>
      <c r="AY43" s="76" t="s">
        <v>182</v>
      </c>
      <c r="AZ43" s="76" t="s">
        <v>182</v>
      </c>
    </row>
    <row r="44" spans="1:52" s="5" customFormat="1" ht="49.5" customHeight="1" x14ac:dyDescent="0.2">
      <c r="A44" s="68" t="s">
        <v>210</v>
      </c>
      <c r="B44" s="69" t="s">
        <v>174</v>
      </c>
      <c r="C44" s="85"/>
      <c r="D44" s="69" t="s">
        <v>24</v>
      </c>
      <c r="E44" s="69" t="s">
        <v>62</v>
      </c>
      <c r="F44" s="72" t="str">
        <f>VLOOKUP(E44,Population!B:D,2,FALSE)</f>
        <v>Core Suburb</v>
      </c>
      <c r="G44" s="153">
        <f>VLOOKUP(E44,Population!B:D,3,FALSE)</f>
        <v>45454</v>
      </c>
      <c r="H44" s="99">
        <v>1</v>
      </c>
      <c r="I44" s="99">
        <v>2</v>
      </c>
      <c r="J44" s="99" t="s">
        <v>196</v>
      </c>
      <c r="K44" s="99" t="s">
        <v>176</v>
      </c>
      <c r="L44" s="99">
        <v>0.1</v>
      </c>
      <c r="M44" s="74" t="s">
        <v>186</v>
      </c>
      <c r="N44" s="73" t="s">
        <v>216</v>
      </c>
      <c r="O44" s="74" t="s">
        <v>248</v>
      </c>
      <c r="P44" s="115">
        <v>4</v>
      </c>
      <c r="Q44" s="115">
        <v>5</v>
      </c>
      <c r="R44" s="115" t="s">
        <v>176</v>
      </c>
      <c r="S44" s="75" t="s">
        <v>176</v>
      </c>
      <c r="T44" s="109">
        <v>3.3</v>
      </c>
      <c r="U44" s="109">
        <v>4</v>
      </c>
      <c r="V44" s="109" t="s">
        <v>176</v>
      </c>
      <c r="W44" s="95" t="s">
        <v>176</v>
      </c>
      <c r="X44" s="103" t="s">
        <v>176</v>
      </c>
      <c r="Y44" s="79" t="s">
        <v>176</v>
      </c>
      <c r="Z44" s="88" t="s">
        <v>182</v>
      </c>
      <c r="AA44" s="88"/>
      <c r="AB44" s="88" t="s">
        <v>182</v>
      </c>
      <c r="AC44" s="88" t="s">
        <v>174</v>
      </c>
      <c r="AD44" s="88" t="s">
        <v>182</v>
      </c>
      <c r="AE44" s="88"/>
      <c r="AF44" s="88" t="s">
        <v>182</v>
      </c>
      <c r="AG44" s="88" t="s">
        <v>182</v>
      </c>
      <c r="AH44" s="88" t="s">
        <v>182</v>
      </c>
      <c r="AI44" s="88" t="s">
        <v>182</v>
      </c>
      <c r="AJ44" s="88" t="s">
        <v>182</v>
      </c>
      <c r="AK44" s="88" t="s">
        <v>182</v>
      </c>
      <c r="AL44" s="88" t="s">
        <v>174</v>
      </c>
      <c r="AM44" s="92"/>
      <c r="AN44" s="92"/>
      <c r="AO44" s="92"/>
      <c r="AP44" s="92"/>
      <c r="AQ44" s="92"/>
      <c r="AR44" s="97"/>
      <c r="AS44" s="97"/>
      <c r="AT44" s="97"/>
      <c r="AU44" s="97"/>
      <c r="AV44" s="76" t="s">
        <v>182</v>
      </c>
      <c r="AW44" s="76"/>
      <c r="AX44" s="76" t="s">
        <v>182</v>
      </c>
      <c r="AY44" s="76" t="s">
        <v>182</v>
      </c>
      <c r="AZ44" s="76" t="s">
        <v>182</v>
      </c>
    </row>
    <row r="45" spans="1:52" s="5" customFormat="1" ht="49.5" customHeight="1" x14ac:dyDescent="0.2">
      <c r="A45" s="68"/>
      <c r="B45" s="69" t="s">
        <v>174</v>
      </c>
      <c r="C45" s="55">
        <v>44237</v>
      </c>
      <c r="D45" s="69" t="s">
        <v>24</v>
      </c>
      <c r="E45" s="71" t="s">
        <v>65</v>
      </c>
      <c r="F45" s="72" t="str">
        <f>VLOOKUP(E45,Population!B:D,2,FALSE)</f>
        <v>Core Suburb</v>
      </c>
      <c r="G45" s="153">
        <f>VLOOKUP(E45,Population!B:D,3,FALSE)</f>
        <v>30145</v>
      </c>
      <c r="H45" s="99">
        <v>0.5</v>
      </c>
      <c r="I45" s="99">
        <v>2</v>
      </c>
      <c r="J45" s="99" t="s">
        <v>201</v>
      </c>
      <c r="K45" s="99" t="s">
        <v>176</v>
      </c>
      <c r="L45" s="99">
        <v>0.5</v>
      </c>
      <c r="M45" s="74" t="s">
        <v>202</v>
      </c>
      <c r="N45" s="73" t="s">
        <v>187</v>
      </c>
      <c r="O45" s="74" t="s">
        <v>203</v>
      </c>
      <c r="P45" s="115">
        <v>3.3</v>
      </c>
      <c r="Q45" s="115">
        <v>3.3</v>
      </c>
      <c r="R45" s="115" t="s">
        <v>176</v>
      </c>
      <c r="S45" s="77" t="s">
        <v>204</v>
      </c>
      <c r="T45" s="109">
        <v>2.85</v>
      </c>
      <c r="U45" s="109">
        <v>3.33</v>
      </c>
      <c r="V45" s="109" t="s">
        <v>176</v>
      </c>
      <c r="W45" s="96" t="s">
        <v>176</v>
      </c>
      <c r="X45" s="104"/>
      <c r="Y45" s="76" t="s">
        <v>205</v>
      </c>
      <c r="Z45" s="88" t="s">
        <v>174</v>
      </c>
      <c r="AA45" s="88"/>
      <c r="AB45" s="88" t="s">
        <v>182</v>
      </c>
      <c r="AC45" s="88" t="s">
        <v>174</v>
      </c>
      <c r="AD45" s="88" t="s">
        <v>174</v>
      </c>
      <c r="AE45" s="88" t="s">
        <v>174</v>
      </c>
      <c r="AF45" s="88" t="s">
        <v>182</v>
      </c>
      <c r="AG45" s="88" t="s">
        <v>174</v>
      </c>
      <c r="AH45" s="88" t="s">
        <v>182</v>
      </c>
      <c r="AI45" s="88" t="s">
        <v>182</v>
      </c>
      <c r="AJ45" s="88" t="s">
        <v>174</v>
      </c>
      <c r="AK45" s="88" t="s">
        <v>174</v>
      </c>
      <c r="AL45" s="88" t="s">
        <v>174</v>
      </c>
      <c r="AM45" s="92" t="s">
        <v>182</v>
      </c>
      <c r="AN45" s="92" t="s">
        <v>182</v>
      </c>
      <c r="AO45" s="92" t="s">
        <v>182</v>
      </c>
      <c r="AP45" s="92" t="s">
        <v>182</v>
      </c>
      <c r="AQ45" s="92" t="s">
        <v>182</v>
      </c>
      <c r="AR45" s="97" t="s">
        <v>174</v>
      </c>
      <c r="AS45" s="97" t="s">
        <v>174</v>
      </c>
      <c r="AT45" s="97" t="s">
        <v>182</v>
      </c>
      <c r="AU45" s="97" t="s">
        <v>174</v>
      </c>
      <c r="AV45" s="76" t="s">
        <v>174</v>
      </c>
      <c r="AW45" s="76" t="s">
        <v>206</v>
      </c>
      <c r="AX45" s="76" t="s">
        <v>174</v>
      </c>
      <c r="AY45" s="76" t="s">
        <v>174</v>
      </c>
      <c r="AZ45" s="76" t="s">
        <v>182</v>
      </c>
    </row>
    <row r="46" spans="1:52" s="5" customFormat="1" ht="49.5" customHeight="1" x14ac:dyDescent="0.2">
      <c r="A46" s="68"/>
      <c r="B46" s="69" t="s">
        <v>174</v>
      </c>
      <c r="C46" s="55">
        <v>44234</v>
      </c>
      <c r="D46" s="69" t="s">
        <v>112</v>
      </c>
      <c r="E46" s="71" t="s">
        <v>112</v>
      </c>
      <c r="F46" s="72" t="str">
        <f>VLOOKUP(E46,Population!B:D,2,FALSE)</f>
        <v>Urban Center</v>
      </c>
      <c r="G46" s="153">
        <f>VLOOKUP(E46,Population!B:D,3,FALSE)</f>
        <v>897806</v>
      </c>
      <c r="H46" s="99">
        <v>0</v>
      </c>
      <c r="I46" s="99">
        <v>0</v>
      </c>
      <c r="J46" s="99" t="s">
        <v>175</v>
      </c>
      <c r="K46" s="99">
        <v>1.5</v>
      </c>
      <c r="L46" s="99">
        <v>0</v>
      </c>
      <c r="M46" s="74" t="s">
        <v>176</v>
      </c>
      <c r="N46" s="73" t="s">
        <v>177</v>
      </c>
      <c r="O46" s="74" t="s">
        <v>178</v>
      </c>
      <c r="P46" s="115">
        <v>0</v>
      </c>
      <c r="Q46" s="115">
        <v>0</v>
      </c>
      <c r="R46" s="115">
        <f>1.5/200*1000</f>
        <v>7.5</v>
      </c>
      <c r="S46" s="77" t="s">
        <v>179</v>
      </c>
      <c r="T46" s="109">
        <v>0</v>
      </c>
      <c r="U46" s="109">
        <v>0</v>
      </c>
      <c r="V46" s="109">
        <f>1.5/500*1000</f>
        <v>3</v>
      </c>
      <c r="W46" s="96" t="s">
        <v>180</v>
      </c>
      <c r="X46" s="102">
        <v>0</v>
      </c>
      <c r="Y46" s="76" t="s">
        <v>181</v>
      </c>
      <c r="Z46" s="88" t="s">
        <v>174</v>
      </c>
      <c r="AA46" s="88"/>
      <c r="AB46" s="88" t="s">
        <v>174</v>
      </c>
      <c r="AC46" s="88" t="s">
        <v>174</v>
      </c>
      <c r="AD46" s="88" t="s">
        <v>174</v>
      </c>
      <c r="AE46" s="88" t="s">
        <v>182</v>
      </c>
      <c r="AF46" s="88" t="s">
        <v>182</v>
      </c>
      <c r="AG46" s="88" t="s">
        <v>174</v>
      </c>
      <c r="AH46" s="88" t="s">
        <v>174</v>
      </c>
      <c r="AI46" s="88" t="s">
        <v>182</v>
      </c>
      <c r="AJ46" s="88" t="s">
        <v>174</v>
      </c>
      <c r="AK46" s="88" t="s">
        <v>174</v>
      </c>
      <c r="AL46" s="88" t="s">
        <v>182</v>
      </c>
      <c r="AM46" s="92" t="s">
        <v>174</v>
      </c>
      <c r="AN46" s="92" t="s">
        <v>174</v>
      </c>
      <c r="AO46" s="92" t="s">
        <v>174</v>
      </c>
      <c r="AP46" s="92" t="s">
        <v>182</v>
      </c>
      <c r="AQ46" s="92" t="s">
        <v>182</v>
      </c>
      <c r="AR46" s="97" t="s">
        <v>174</v>
      </c>
      <c r="AS46" s="97" t="s">
        <v>174</v>
      </c>
      <c r="AT46" s="97" t="s">
        <v>182</v>
      </c>
      <c r="AU46" s="97" t="s">
        <v>174</v>
      </c>
      <c r="AV46" s="76" t="s">
        <v>174</v>
      </c>
      <c r="AW46" s="76" t="s">
        <v>183</v>
      </c>
      <c r="AX46" s="76" t="s">
        <v>174</v>
      </c>
      <c r="AY46" s="76" t="s">
        <v>182</v>
      </c>
      <c r="AZ46" s="76" t="s">
        <v>182</v>
      </c>
    </row>
    <row r="47" spans="1:52" s="5" customFormat="1" ht="49.5" customHeight="1" x14ac:dyDescent="0.2">
      <c r="A47" s="68" t="s">
        <v>9</v>
      </c>
      <c r="B47" s="69" t="s">
        <v>174</v>
      </c>
      <c r="C47" s="55">
        <v>44249</v>
      </c>
      <c r="D47" s="69" t="s">
        <v>48</v>
      </c>
      <c r="E47" s="71" t="s">
        <v>113</v>
      </c>
      <c r="F47" s="72" t="str">
        <f>VLOOKUP(E47,Population!B:D,2,FALSE)</f>
        <v>Urban Center</v>
      </c>
      <c r="G47" s="153">
        <f>VLOOKUP(E47,Population!B:D,3,FALSE)</f>
        <v>1049187</v>
      </c>
      <c r="H47" s="99">
        <v>0.25</v>
      </c>
      <c r="I47" s="99">
        <v>2.15</v>
      </c>
      <c r="J47" s="99">
        <v>1</v>
      </c>
      <c r="K47" s="99" t="s">
        <v>176</v>
      </c>
      <c r="L47" s="99" t="s">
        <v>176</v>
      </c>
      <c r="M47" s="74" t="s">
        <v>192</v>
      </c>
      <c r="N47" s="73" t="s">
        <v>193</v>
      </c>
      <c r="O47" s="74" t="s">
        <v>176</v>
      </c>
      <c r="P47" s="115">
        <f>1/1000*1000</f>
        <v>1</v>
      </c>
      <c r="Q47" s="115">
        <f>1/200*1000</f>
        <v>5</v>
      </c>
      <c r="R47" s="115" t="s">
        <v>176</v>
      </c>
      <c r="S47" s="77" t="s">
        <v>176</v>
      </c>
      <c r="T47" s="109">
        <f>1/300*1000</f>
        <v>3.3333333333333335</v>
      </c>
      <c r="U47" s="109">
        <f>1/200*1000</f>
        <v>5</v>
      </c>
      <c r="V47" s="109" t="s">
        <v>176</v>
      </c>
      <c r="W47" s="96" t="s">
        <v>176</v>
      </c>
      <c r="X47" s="102" t="s">
        <v>176</v>
      </c>
      <c r="Y47" s="76" t="s">
        <v>194</v>
      </c>
      <c r="Z47" s="88" t="s">
        <v>174</v>
      </c>
      <c r="AA47" s="88" t="s">
        <v>182</v>
      </c>
      <c r="AB47" s="88" t="s">
        <v>174</v>
      </c>
      <c r="AC47" s="88" t="s">
        <v>174</v>
      </c>
      <c r="AD47" s="88" t="s">
        <v>174</v>
      </c>
      <c r="AE47" s="88" t="s">
        <v>174</v>
      </c>
      <c r="AF47" s="88" t="s">
        <v>174</v>
      </c>
      <c r="AG47" s="88" t="s">
        <v>182</v>
      </c>
      <c r="AH47" s="88" t="s">
        <v>174</v>
      </c>
      <c r="AI47" s="88" t="s">
        <v>174</v>
      </c>
      <c r="AJ47" s="88" t="s">
        <v>174</v>
      </c>
      <c r="AK47" s="88" t="s">
        <v>174</v>
      </c>
      <c r="AL47" s="88" t="s">
        <v>174</v>
      </c>
      <c r="AM47" s="92" t="s">
        <v>174</v>
      </c>
      <c r="AN47" s="92" t="s">
        <v>174</v>
      </c>
      <c r="AO47" s="92" t="s">
        <v>182</v>
      </c>
      <c r="AP47" s="92" t="s">
        <v>174</v>
      </c>
      <c r="AQ47" s="92" t="s">
        <v>174</v>
      </c>
      <c r="AR47" s="97" t="s">
        <v>174</v>
      </c>
      <c r="AS47" s="97" t="s">
        <v>174</v>
      </c>
      <c r="AT47" s="97" t="s">
        <v>182</v>
      </c>
      <c r="AU47" s="97" t="s">
        <v>182</v>
      </c>
      <c r="AV47" s="76" t="s">
        <v>174</v>
      </c>
      <c r="AW47" s="76" t="s">
        <v>195</v>
      </c>
      <c r="AX47" s="76" t="s">
        <v>174</v>
      </c>
      <c r="AY47" s="76" t="s">
        <v>174</v>
      </c>
      <c r="AZ47" s="76" t="s">
        <v>174</v>
      </c>
    </row>
    <row r="48" spans="1:52" s="5" customFormat="1" ht="49.5" customHeight="1" x14ac:dyDescent="0.2">
      <c r="A48" s="68" t="s">
        <v>9</v>
      </c>
      <c r="B48" s="69" t="s">
        <v>174</v>
      </c>
      <c r="C48" s="86"/>
      <c r="D48" s="69" t="s">
        <v>4</v>
      </c>
      <c r="E48" s="70" t="s">
        <v>58</v>
      </c>
      <c r="F48" s="72" t="str">
        <f>VLOOKUP(E48,Population!B:D,2,FALSE)</f>
        <v>Core Suburb</v>
      </c>
      <c r="G48" s="153">
        <f>VLOOKUP(E48,Population!B:D,3,FALSE)</f>
        <v>87930</v>
      </c>
      <c r="H48" s="99">
        <v>1</v>
      </c>
      <c r="I48" s="99">
        <v>3</v>
      </c>
      <c r="J48" s="99" t="s">
        <v>196</v>
      </c>
      <c r="K48" s="99" t="s">
        <v>176</v>
      </c>
      <c r="L48" s="99">
        <v>0.25</v>
      </c>
      <c r="M48" s="74" t="s">
        <v>186</v>
      </c>
      <c r="N48" s="73" t="s">
        <v>343</v>
      </c>
      <c r="O48" s="74" t="s">
        <v>176</v>
      </c>
      <c r="P48" s="115">
        <v>2</v>
      </c>
      <c r="Q48" s="115">
        <v>2</v>
      </c>
      <c r="R48" s="115" t="s">
        <v>197</v>
      </c>
      <c r="S48" s="75" t="s">
        <v>344</v>
      </c>
      <c r="T48" s="109">
        <v>3</v>
      </c>
      <c r="U48" s="109">
        <v>3.33</v>
      </c>
      <c r="V48" s="109" t="s">
        <v>197</v>
      </c>
      <c r="W48" s="95" t="s">
        <v>197</v>
      </c>
      <c r="X48" s="103" t="s">
        <v>270</v>
      </c>
      <c r="Y48" s="79" t="s">
        <v>345</v>
      </c>
      <c r="Z48" s="88" t="s">
        <v>174</v>
      </c>
      <c r="AA48" s="88"/>
      <c r="AB48" s="88" t="s">
        <v>174</v>
      </c>
      <c r="AC48" s="88" t="s">
        <v>174</v>
      </c>
      <c r="AD48" s="88" t="s">
        <v>174</v>
      </c>
      <c r="AE48" s="88"/>
      <c r="AF48" s="88" t="s">
        <v>182</v>
      </c>
      <c r="AG48" s="88" t="s">
        <v>182</v>
      </c>
      <c r="AH48" s="88" t="s">
        <v>182</v>
      </c>
      <c r="AI48" s="88" t="s">
        <v>182</v>
      </c>
      <c r="AJ48" s="88" t="s">
        <v>174</v>
      </c>
      <c r="AK48" s="88" t="s">
        <v>174</v>
      </c>
      <c r="AL48" s="88" t="s">
        <v>174</v>
      </c>
      <c r="AM48" s="92"/>
      <c r="AN48" s="92"/>
      <c r="AO48" s="92"/>
      <c r="AP48" s="92"/>
      <c r="AQ48" s="92"/>
      <c r="AR48" s="97"/>
      <c r="AS48" s="97"/>
      <c r="AT48" s="97"/>
      <c r="AU48" s="97"/>
      <c r="AV48" s="76" t="s">
        <v>174</v>
      </c>
      <c r="AW48" s="76" t="s">
        <v>346</v>
      </c>
      <c r="AX48" s="76" t="s">
        <v>182</v>
      </c>
      <c r="AY48" s="76" t="s">
        <v>182</v>
      </c>
      <c r="AZ48" s="76" t="s">
        <v>182</v>
      </c>
    </row>
    <row r="49" spans="1:52" s="5" customFormat="1" ht="49.5" customHeight="1" x14ac:dyDescent="0.2">
      <c r="A49" s="68"/>
      <c r="B49" s="69" t="s">
        <v>174</v>
      </c>
      <c r="C49" s="55">
        <v>44302</v>
      </c>
      <c r="D49" s="69" t="s">
        <v>24</v>
      </c>
      <c r="E49" s="71" t="s">
        <v>24</v>
      </c>
      <c r="F49" s="72" t="str">
        <f>VLOOKUP(E49,Population!B:D,2,FALSE)</f>
        <v>Core Suburb</v>
      </c>
      <c r="G49" s="153">
        <f>VLOOKUP(E49,Population!B:D,3,FALSE)</f>
        <v>103087</v>
      </c>
      <c r="H49" s="99">
        <v>1.5</v>
      </c>
      <c r="I49" s="99">
        <v>3</v>
      </c>
      <c r="J49" s="99">
        <v>1</v>
      </c>
      <c r="K49" s="99" t="s">
        <v>176</v>
      </c>
      <c r="L49" s="99" t="s">
        <v>175</v>
      </c>
      <c r="M49" s="74">
        <v>0.2</v>
      </c>
      <c r="N49" s="73" t="s">
        <v>327</v>
      </c>
      <c r="O49" s="74" t="s">
        <v>176</v>
      </c>
      <c r="P49" s="115">
        <v>3.33</v>
      </c>
      <c r="Q49" s="115">
        <v>4.4000000000000004</v>
      </c>
      <c r="R49" s="115" t="s">
        <v>176</v>
      </c>
      <c r="S49" s="77" t="s">
        <v>328</v>
      </c>
      <c r="T49" s="109">
        <v>2.98</v>
      </c>
      <c r="U49" s="109">
        <v>3.17</v>
      </c>
      <c r="V49" s="109" t="s">
        <v>176</v>
      </c>
      <c r="W49" s="96" t="s">
        <v>176</v>
      </c>
      <c r="X49" s="102" t="s">
        <v>176</v>
      </c>
      <c r="Y49" s="76" t="s">
        <v>176</v>
      </c>
      <c r="Z49" s="88" t="s">
        <v>174</v>
      </c>
      <c r="AA49" s="88" t="s">
        <v>182</v>
      </c>
      <c r="AB49" s="88" t="s">
        <v>182</v>
      </c>
      <c r="AC49" s="88" t="s">
        <v>182</v>
      </c>
      <c r="AD49" s="88" t="s">
        <v>174</v>
      </c>
      <c r="AE49" s="88" t="s">
        <v>174</v>
      </c>
      <c r="AF49" s="88" t="s">
        <v>174</v>
      </c>
      <c r="AG49" s="88" t="s">
        <v>182</v>
      </c>
      <c r="AH49" s="88" t="s">
        <v>174</v>
      </c>
      <c r="AI49" s="88" t="s">
        <v>174</v>
      </c>
      <c r="AJ49" s="88" t="s">
        <v>182</v>
      </c>
      <c r="AK49" s="88" t="s">
        <v>174</v>
      </c>
      <c r="AL49" s="88" t="s">
        <v>174</v>
      </c>
      <c r="AM49" s="92" t="s">
        <v>174</v>
      </c>
      <c r="AN49" s="92" t="s">
        <v>174</v>
      </c>
      <c r="AO49" s="92" t="s">
        <v>174</v>
      </c>
      <c r="AP49" s="156" t="s">
        <v>174</v>
      </c>
      <c r="AQ49" s="92" t="s">
        <v>174</v>
      </c>
      <c r="AR49" s="97" t="s">
        <v>174</v>
      </c>
      <c r="AS49" s="97" t="s">
        <v>182</v>
      </c>
      <c r="AT49" s="97" t="s">
        <v>174</v>
      </c>
      <c r="AU49" s="97" t="s">
        <v>174</v>
      </c>
      <c r="AV49" s="76" t="s">
        <v>174</v>
      </c>
      <c r="AW49" s="76" t="s">
        <v>214</v>
      </c>
      <c r="AX49" s="76" t="s">
        <v>182</v>
      </c>
      <c r="AY49" s="76" t="s">
        <v>182</v>
      </c>
      <c r="AZ49" s="76" t="s">
        <v>182</v>
      </c>
    </row>
    <row r="50" spans="1:52" s="159" customFormat="1" ht="49.5" customHeight="1" x14ac:dyDescent="0.2">
      <c r="A50" s="68" t="s">
        <v>24</v>
      </c>
      <c r="B50" s="69" t="s">
        <v>174</v>
      </c>
      <c r="C50" s="55">
        <v>44286</v>
      </c>
      <c r="D50" s="69" t="s">
        <v>11</v>
      </c>
      <c r="E50" s="71" t="s">
        <v>102</v>
      </c>
      <c r="F50" s="72" t="str">
        <f>VLOOKUP(E50,Population!B:D,2,FALSE)</f>
        <v>Urban Area</v>
      </c>
      <c r="G50" s="153">
        <f>VLOOKUP(E50,Population!B:D,3,FALSE)</f>
        <v>59807</v>
      </c>
      <c r="H50" s="99">
        <v>1</v>
      </c>
      <c r="I50" s="99">
        <v>3</v>
      </c>
      <c r="J50" s="99" t="s">
        <v>196</v>
      </c>
      <c r="K50" s="99" t="s">
        <v>176</v>
      </c>
      <c r="L50" s="99">
        <f>1/5</f>
        <v>0.2</v>
      </c>
      <c r="M50" s="74" t="s">
        <v>186</v>
      </c>
      <c r="N50" s="73" t="s">
        <v>216</v>
      </c>
      <c r="O50" s="74" t="s">
        <v>176</v>
      </c>
      <c r="P50" s="115">
        <f>1/500*1000</f>
        <v>2</v>
      </c>
      <c r="Q50" s="115">
        <f>1/250*1000</f>
        <v>4</v>
      </c>
      <c r="R50" s="115" t="s">
        <v>176</v>
      </c>
      <c r="S50" s="77" t="s">
        <v>176</v>
      </c>
      <c r="T50" s="109">
        <f>1/250*1000</f>
        <v>4</v>
      </c>
      <c r="U50" s="109">
        <f>1/200*1000</f>
        <v>5</v>
      </c>
      <c r="V50" s="109" t="s">
        <v>176</v>
      </c>
      <c r="W50" s="96" t="s">
        <v>176</v>
      </c>
      <c r="X50" s="102" t="s">
        <v>176</v>
      </c>
      <c r="Y50" s="76" t="s">
        <v>176</v>
      </c>
      <c r="Z50" s="88" t="s">
        <v>174</v>
      </c>
      <c r="AA50" s="88" t="s">
        <v>182</v>
      </c>
      <c r="AB50" s="88" t="s">
        <v>174</v>
      </c>
      <c r="AC50" s="88" t="s">
        <v>174</v>
      </c>
      <c r="AD50" s="88" t="s">
        <v>182</v>
      </c>
      <c r="AE50" s="88" t="s">
        <v>182</v>
      </c>
      <c r="AF50" s="88" t="s">
        <v>174</v>
      </c>
      <c r="AG50" s="88" t="s">
        <v>182</v>
      </c>
      <c r="AH50" s="88" t="s">
        <v>174</v>
      </c>
      <c r="AI50" s="88" t="s">
        <v>174</v>
      </c>
      <c r="AJ50" s="88" t="s">
        <v>174</v>
      </c>
      <c r="AK50" s="88" t="s">
        <v>174</v>
      </c>
      <c r="AL50" s="88" t="s">
        <v>174</v>
      </c>
      <c r="AM50" s="92" t="s">
        <v>174</v>
      </c>
      <c r="AN50" s="92" t="s">
        <v>174</v>
      </c>
      <c r="AO50" s="92" t="s">
        <v>182</v>
      </c>
      <c r="AP50" s="156" t="s">
        <v>174</v>
      </c>
      <c r="AQ50" s="92" t="s">
        <v>182</v>
      </c>
      <c r="AR50" s="97" t="s">
        <v>182</v>
      </c>
      <c r="AS50" s="97" t="s">
        <v>174</v>
      </c>
      <c r="AT50" s="97" t="s">
        <v>182</v>
      </c>
      <c r="AU50" s="97" t="s">
        <v>174</v>
      </c>
      <c r="AV50" s="76" t="s">
        <v>174</v>
      </c>
      <c r="AW50" s="76" t="s">
        <v>244</v>
      </c>
      <c r="AX50" s="76" t="s">
        <v>174</v>
      </c>
      <c r="AY50" s="76" t="s">
        <v>182</v>
      </c>
      <c r="AZ50" s="76" t="s">
        <v>174</v>
      </c>
    </row>
    <row r="51" spans="1:52" s="5" customFormat="1" ht="49.5" customHeight="1" x14ac:dyDescent="0.2">
      <c r="A51" s="68" t="s">
        <v>9</v>
      </c>
      <c r="B51" s="69" t="s">
        <v>174</v>
      </c>
      <c r="C51" s="86"/>
      <c r="D51" s="69" t="s">
        <v>9</v>
      </c>
      <c r="E51" s="70" t="s">
        <v>80</v>
      </c>
      <c r="F51" s="72" t="str">
        <f>VLOOKUP(E51,Population!B:D,2,FALSE)</f>
        <v>Outer Suburb</v>
      </c>
      <c r="G51" s="153">
        <f>VLOOKUP(E51,Population!B:D,3,FALSE)</f>
        <v>83118</v>
      </c>
      <c r="H51" s="99">
        <v>1</v>
      </c>
      <c r="I51" s="99">
        <v>4</v>
      </c>
      <c r="J51" s="99" t="s">
        <v>269</v>
      </c>
      <c r="K51" s="99" t="s">
        <v>197</v>
      </c>
      <c r="L51" s="99">
        <v>0.25</v>
      </c>
      <c r="M51" s="74" t="s">
        <v>186</v>
      </c>
      <c r="N51" s="73" t="s">
        <v>187</v>
      </c>
      <c r="O51" s="74" t="s">
        <v>176</v>
      </c>
      <c r="P51" s="115">
        <v>4</v>
      </c>
      <c r="Q51" s="115">
        <v>4.4400000000000004</v>
      </c>
      <c r="R51" s="115" t="s">
        <v>176</v>
      </c>
      <c r="S51" s="75" t="s">
        <v>176</v>
      </c>
      <c r="T51" s="109">
        <v>4</v>
      </c>
      <c r="U51" s="109">
        <v>4</v>
      </c>
      <c r="V51" s="109" t="s">
        <v>176</v>
      </c>
      <c r="W51" s="95" t="s">
        <v>176</v>
      </c>
      <c r="X51" s="103" t="s">
        <v>270</v>
      </c>
      <c r="Y51" s="79" t="s">
        <v>176</v>
      </c>
      <c r="Z51" s="88" t="s">
        <v>174</v>
      </c>
      <c r="AA51" s="88"/>
      <c r="AB51" s="88" t="s">
        <v>182</v>
      </c>
      <c r="AC51" s="88" t="s">
        <v>174</v>
      </c>
      <c r="AD51" s="88" t="s">
        <v>182</v>
      </c>
      <c r="AE51" s="88"/>
      <c r="AF51" s="88" t="s">
        <v>182</v>
      </c>
      <c r="AG51" s="88" t="s">
        <v>182</v>
      </c>
      <c r="AH51" s="88" t="s">
        <v>174</v>
      </c>
      <c r="AI51" s="88" t="s">
        <v>182</v>
      </c>
      <c r="AJ51" s="88" t="s">
        <v>174</v>
      </c>
      <c r="AK51" s="88" t="s">
        <v>174</v>
      </c>
      <c r="AL51" s="88" t="s">
        <v>174</v>
      </c>
      <c r="AM51" s="92"/>
      <c r="AN51" s="92"/>
      <c r="AO51" s="92"/>
      <c r="AP51" s="92"/>
      <c r="AQ51" s="92"/>
      <c r="AR51" s="97"/>
      <c r="AS51" s="97"/>
      <c r="AT51" s="97"/>
      <c r="AU51" s="97"/>
      <c r="AV51" s="76" t="s">
        <v>174</v>
      </c>
      <c r="AW51" s="76" t="s">
        <v>271</v>
      </c>
      <c r="AX51" s="76" t="s">
        <v>182</v>
      </c>
      <c r="AY51" s="76" t="s">
        <v>174</v>
      </c>
      <c r="AZ51" s="76" t="s">
        <v>182</v>
      </c>
    </row>
    <row r="52" spans="1:52" s="5" customFormat="1" ht="49.5" customHeight="1" x14ac:dyDescent="0.2">
      <c r="A52" s="68" t="s">
        <v>48</v>
      </c>
      <c r="B52" s="69" t="s">
        <v>174</v>
      </c>
      <c r="C52" s="55">
        <v>44252</v>
      </c>
      <c r="D52" s="69" t="s">
        <v>42</v>
      </c>
      <c r="E52" s="71" t="s">
        <v>103</v>
      </c>
      <c r="F52" s="72" t="str">
        <f>VLOOKUP(E52,Population!B:D,2,FALSE)</f>
        <v>Urban Area</v>
      </c>
      <c r="G52" s="153">
        <f>VLOOKUP(E52,Population!B:D,3,FALSE)</f>
        <v>173628</v>
      </c>
      <c r="H52" s="99">
        <v>1</v>
      </c>
      <c r="I52" s="99">
        <v>4</v>
      </c>
      <c r="J52" s="99">
        <v>1</v>
      </c>
      <c r="K52" s="99" t="s">
        <v>176</v>
      </c>
      <c r="L52" s="99">
        <v>0.1</v>
      </c>
      <c r="M52" s="74" t="s">
        <v>286</v>
      </c>
      <c r="N52" s="73" t="s">
        <v>240</v>
      </c>
      <c r="O52" s="74" t="s">
        <v>176</v>
      </c>
      <c r="P52" s="115">
        <v>4</v>
      </c>
      <c r="Q52" s="115">
        <v>4</v>
      </c>
      <c r="R52" s="115" t="s">
        <v>204</v>
      </c>
      <c r="S52" s="77" t="s">
        <v>287</v>
      </c>
      <c r="T52" s="109">
        <v>4</v>
      </c>
      <c r="U52" s="109">
        <v>4</v>
      </c>
      <c r="V52" s="109" t="s">
        <v>176</v>
      </c>
      <c r="W52" s="96" t="s">
        <v>230</v>
      </c>
      <c r="X52" s="104" t="s">
        <v>212</v>
      </c>
      <c r="Y52" s="76" t="s">
        <v>288</v>
      </c>
      <c r="Z52" s="88" t="s">
        <v>174</v>
      </c>
      <c r="AA52" s="88" t="s">
        <v>182</v>
      </c>
      <c r="AB52" s="88" t="s">
        <v>182</v>
      </c>
      <c r="AC52" s="88" t="s">
        <v>174</v>
      </c>
      <c r="AD52" s="88" t="s">
        <v>174</v>
      </c>
      <c r="AE52" s="88" t="s">
        <v>182</v>
      </c>
      <c r="AF52" s="88" t="s">
        <v>174</v>
      </c>
      <c r="AG52" s="88" t="s">
        <v>182</v>
      </c>
      <c r="AH52" s="88" t="s">
        <v>182</v>
      </c>
      <c r="AI52" s="88" t="s">
        <v>182</v>
      </c>
      <c r="AJ52" s="91" t="s">
        <v>174</v>
      </c>
      <c r="AK52" s="88" t="s">
        <v>182</v>
      </c>
      <c r="AL52" s="88" t="s">
        <v>174</v>
      </c>
      <c r="AM52" s="92" t="s">
        <v>174</v>
      </c>
      <c r="AN52" s="92" t="s">
        <v>174</v>
      </c>
      <c r="AO52" s="92" t="s">
        <v>182</v>
      </c>
      <c r="AP52" s="92" t="s">
        <v>182</v>
      </c>
      <c r="AQ52" s="93" t="s">
        <v>182</v>
      </c>
      <c r="AR52" s="97" t="s">
        <v>182</v>
      </c>
      <c r="AS52" s="97" t="s">
        <v>174</v>
      </c>
      <c r="AT52" s="97" t="s">
        <v>182</v>
      </c>
      <c r="AU52" s="97" t="s">
        <v>182</v>
      </c>
      <c r="AV52" s="76" t="s">
        <v>174</v>
      </c>
      <c r="AW52" s="76" t="s">
        <v>289</v>
      </c>
      <c r="AX52" s="76" t="s">
        <v>182</v>
      </c>
      <c r="AY52" s="76" t="s">
        <v>182</v>
      </c>
      <c r="AZ52" s="76" t="s">
        <v>182</v>
      </c>
    </row>
    <row r="53" spans="1:52" s="5" customFormat="1" ht="49.5" customHeight="1" x14ac:dyDescent="0.2">
      <c r="A53" s="68" t="s">
        <v>210</v>
      </c>
      <c r="B53" s="69" t="s">
        <v>174</v>
      </c>
      <c r="C53" s="55">
        <v>44234</v>
      </c>
      <c r="D53" s="69" t="s">
        <v>42</v>
      </c>
      <c r="E53" s="71" t="s">
        <v>85</v>
      </c>
      <c r="F53" s="72" t="str">
        <f>VLOOKUP(E53,Population!B:D,2,FALSE)</f>
        <v>Outer Suburb</v>
      </c>
      <c r="G53" s="153">
        <f>VLOOKUP(E53,Population!B:D,3,FALSE)</f>
        <v>7745</v>
      </c>
      <c r="H53" s="99">
        <v>0.75</v>
      </c>
      <c r="I53" s="99">
        <v>2</v>
      </c>
      <c r="J53" s="99" t="s">
        <v>176</v>
      </c>
      <c r="K53" s="99" t="s">
        <v>176</v>
      </c>
      <c r="L53" s="99" t="s">
        <v>176</v>
      </c>
      <c r="M53" s="74" t="s">
        <v>176</v>
      </c>
      <c r="N53" s="78" t="s">
        <v>211</v>
      </c>
      <c r="O53" s="74" t="s">
        <v>176</v>
      </c>
      <c r="P53" s="115">
        <v>1</v>
      </c>
      <c r="Q53" s="115">
        <f>1*1000/300</f>
        <v>3.3333333333333335</v>
      </c>
      <c r="R53" s="115" t="s">
        <v>176</v>
      </c>
      <c r="S53" s="77" t="s">
        <v>176</v>
      </c>
      <c r="T53" s="109">
        <f>1*1000/300</f>
        <v>3.3333333333333335</v>
      </c>
      <c r="U53" s="109">
        <f>1*1000/300</f>
        <v>3.3333333333333335</v>
      </c>
      <c r="V53" s="109" t="s">
        <v>176</v>
      </c>
      <c r="W53" s="96" t="s">
        <v>176</v>
      </c>
      <c r="X53" s="103" t="s">
        <v>212</v>
      </c>
      <c r="Y53" s="79" t="s">
        <v>213</v>
      </c>
      <c r="Z53" s="88" t="s">
        <v>174</v>
      </c>
      <c r="AA53" s="88" t="s">
        <v>174</v>
      </c>
      <c r="AB53" s="88" t="s">
        <v>174</v>
      </c>
      <c r="AC53" s="88" t="s">
        <v>174</v>
      </c>
      <c r="AD53" s="88" t="s">
        <v>174</v>
      </c>
      <c r="AE53" s="88" t="s">
        <v>174</v>
      </c>
      <c r="AF53" s="88" t="s">
        <v>182</v>
      </c>
      <c r="AG53" s="88" t="s">
        <v>174</v>
      </c>
      <c r="AH53" s="88" t="s">
        <v>182</v>
      </c>
      <c r="AI53" s="88" t="s">
        <v>174</v>
      </c>
      <c r="AJ53" s="88" t="s">
        <v>182</v>
      </c>
      <c r="AK53" s="88" t="s">
        <v>174</v>
      </c>
      <c r="AL53" s="88" t="s">
        <v>174</v>
      </c>
      <c r="AM53" s="92" t="s">
        <v>174</v>
      </c>
      <c r="AN53" s="92" t="s">
        <v>174</v>
      </c>
      <c r="AO53" s="92" t="s">
        <v>182</v>
      </c>
      <c r="AP53" s="92" t="s">
        <v>182</v>
      </c>
      <c r="AQ53" s="92" t="s">
        <v>182</v>
      </c>
      <c r="AR53" s="97" t="s">
        <v>174</v>
      </c>
      <c r="AS53" s="97" t="s">
        <v>182</v>
      </c>
      <c r="AT53" s="97" t="s">
        <v>182</v>
      </c>
      <c r="AU53" s="97" t="s">
        <v>182</v>
      </c>
      <c r="AV53" s="76" t="s">
        <v>174</v>
      </c>
      <c r="AW53" s="76" t="s">
        <v>214</v>
      </c>
      <c r="AX53" s="76" t="s">
        <v>182</v>
      </c>
      <c r="AY53" s="76" t="s">
        <v>182</v>
      </c>
      <c r="AZ53" s="76" t="s">
        <v>182</v>
      </c>
    </row>
    <row r="54" spans="1:52" s="5" customFormat="1" ht="49.5" customHeight="1" x14ac:dyDescent="0.2">
      <c r="A54" s="68" t="s">
        <v>24</v>
      </c>
      <c r="B54" s="69" t="s">
        <v>182</v>
      </c>
      <c r="C54" s="55">
        <v>44288</v>
      </c>
      <c r="D54" s="69" t="s">
        <v>24</v>
      </c>
      <c r="E54" s="80" t="s">
        <v>109</v>
      </c>
      <c r="F54" s="72" t="str">
        <f>VLOOKUP(E54,Population!B:D,2,FALSE)</f>
        <v>Urban Area</v>
      </c>
      <c r="G54" s="153">
        <f>VLOOKUP(E54,Population!B:D,3,FALSE)</f>
        <v>67879</v>
      </c>
      <c r="H54" s="99">
        <v>1</v>
      </c>
      <c r="I54" s="99">
        <v>4</v>
      </c>
      <c r="J54" s="99">
        <v>1</v>
      </c>
      <c r="K54" s="99" t="s">
        <v>175</v>
      </c>
      <c r="L54" s="99">
        <v>0.25</v>
      </c>
      <c r="M54" s="74" t="s">
        <v>215</v>
      </c>
      <c r="N54" s="73" t="s">
        <v>216</v>
      </c>
      <c r="O54" s="74" t="s">
        <v>175</v>
      </c>
      <c r="P54" s="115">
        <f>1/750*1000</f>
        <v>1.3333333333333333</v>
      </c>
      <c r="Q54" s="115">
        <f>1/300*1000</f>
        <v>3.3333333333333335</v>
      </c>
      <c r="R54" s="115" t="s">
        <v>175</v>
      </c>
      <c r="S54" s="77" t="s">
        <v>175</v>
      </c>
      <c r="T54" s="109">
        <f>1/350*1000</f>
        <v>2.8571428571428572</v>
      </c>
      <c r="U54" s="109">
        <f>1/200*1000</f>
        <v>5</v>
      </c>
      <c r="V54" s="109" t="s">
        <v>175</v>
      </c>
      <c r="W54" s="96"/>
      <c r="X54" s="102">
        <v>2.74</v>
      </c>
      <c r="Y54" s="76" t="s">
        <v>217</v>
      </c>
      <c r="Z54" s="88" t="s">
        <v>174</v>
      </c>
      <c r="AA54" s="88" t="s">
        <v>182</v>
      </c>
      <c r="AB54" s="88" t="s">
        <v>182</v>
      </c>
      <c r="AC54" s="88" t="s">
        <v>174</v>
      </c>
      <c r="AD54" s="88" t="s">
        <v>174</v>
      </c>
      <c r="AE54" s="88" t="s">
        <v>182</v>
      </c>
      <c r="AF54" s="88" t="s">
        <v>174</v>
      </c>
      <c r="AG54" s="88" t="s">
        <v>182</v>
      </c>
      <c r="AH54" s="88" t="s">
        <v>174</v>
      </c>
      <c r="AI54" s="88" t="s">
        <v>174</v>
      </c>
      <c r="AJ54" s="88" t="s">
        <v>174</v>
      </c>
      <c r="AK54" s="88" t="s">
        <v>174</v>
      </c>
      <c r="AL54" s="88" t="s">
        <v>174</v>
      </c>
      <c r="AM54" s="92" t="s">
        <v>174</v>
      </c>
      <c r="AN54" s="92" t="s">
        <v>182</v>
      </c>
      <c r="AO54" s="92" t="s">
        <v>182</v>
      </c>
      <c r="AP54" s="156" t="s">
        <v>174</v>
      </c>
      <c r="AQ54" s="92" t="s">
        <v>182</v>
      </c>
      <c r="AR54" s="97" t="s">
        <v>182</v>
      </c>
      <c r="AS54" s="97" t="s">
        <v>174</v>
      </c>
      <c r="AT54" s="97" t="s">
        <v>182</v>
      </c>
      <c r="AU54" s="97" t="s">
        <v>174</v>
      </c>
      <c r="AV54" s="76" t="s">
        <v>174</v>
      </c>
      <c r="AW54" s="76" t="s">
        <v>218</v>
      </c>
      <c r="AX54" s="76" t="s">
        <v>182</v>
      </c>
      <c r="AY54" s="76" t="s">
        <v>182</v>
      </c>
      <c r="AZ54" s="76" t="s">
        <v>182</v>
      </c>
    </row>
    <row r="55" spans="1:52" s="5" customFormat="1" ht="49.5" customHeight="1" x14ac:dyDescent="0.2">
      <c r="A55" s="68" t="s">
        <v>9</v>
      </c>
      <c r="B55" s="69" t="s">
        <v>174</v>
      </c>
      <c r="C55" s="85"/>
      <c r="D55" s="69" t="s">
        <v>45</v>
      </c>
      <c r="E55" s="69" t="s">
        <v>88</v>
      </c>
      <c r="F55" s="72" t="str">
        <f>VLOOKUP(E55,Population!B:D,2,FALSE)</f>
        <v>Outer Suburb</v>
      </c>
      <c r="G55" s="153">
        <f>VLOOKUP(E55,Population!B:D,3,FALSE)</f>
        <v>29119</v>
      </c>
      <c r="H55" s="99">
        <v>1.5</v>
      </c>
      <c r="I55" s="99">
        <v>2</v>
      </c>
      <c r="J55" s="99">
        <v>1</v>
      </c>
      <c r="K55" s="99" t="s">
        <v>176</v>
      </c>
      <c r="L55" s="99">
        <v>0.25</v>
      </c>
      <c r="M55" s="74" t="s">
        <v>186</v>
      </c>
      <c r="N55" s="73" t="s">
        <v>245</v>
      </c>
      <c r="O55" s="74" t="s">
        <v>176</v>
      </c>
      <c r="P55" s="115">
        <v>4</v>
      </c>
      <c r="Q55" s="115">
        <v>4</v>
      </c>
      <c r="R55" s="115" t="s">
        <v>176</v>
      </c>
      <c r="S55" s="75" t="s">
        <v>176</v>
      </c>
      <c r="T55" s="109">
        <v>4</v>
      </c>
      <c r="U55" s="109">
        <v>4</v>
      </c>
      <c r="V55" s="109" t="s">
        <v>176</v>
      </c>
      <c r="W55" s="95" t="s">
        <v>176</v>
      </c>
      <c r="X55" s="103" t="s">
        <v>176</v>
      </c>
      <c r="Y55" s="79" t="s">
        <v>176</v>
      </c>
      <c r="Z55" s="88" t="s">
        <v>174</v>
      </c>
      <c r="AA55" s="88"/>
      <c r="AB55" s="88" t="s">
        <v>182</v>
      </c>
      <c r="AC55" s="88" t="s">
        <v>174</v>
      </c>
      <c r="AD55" s="88" t="s">
        <v>182</v>
      </c>
      <c r="AE55" s="88"/>
      <c r="AF55" s="88" t="s">
        <v>182</v>
      </c>
      <c r="AG55" s="88" t="s">
        <v>182</v>
      </c>
      <c r="AH55" s="88" t="s">
        <v>182</v>
      </c>
      <c r="AI55" s="88" t="s">
        <v>174</v>
      </c>
      <c r="AJ55" s="88" t="s">
        <v>182</v>
      </c>
      <c r="AK55" s="88" t="s">
        <v>182</v>
      </c>
      <c r="AL55" s="88" t="s">
        <v>182</v>
      </c>
      <c r="AM55" s="92"/>
      <c r="AN55" s="92"/>
      <c r="AO55" s="92"/>
      <c r="AP55" s="156" t="s">
        <v>174</v>
      </c>
      <c r="AQ55" s="92"/>
      <c r="AR55" s="97"/>
      <c r="AS55" s="97"/>
      <c r="AT55" s="97"/>
      <c r="AU55" s="97"/>
      <c r="AV55" s="76" t="s">
        <v>174</v>
      </c>
      <c r="AW55" s="76" t="s">
        <v>276</v>
      </c>
      <c r="AX55" s="76" t="s">
        <v>182</v>
      </c>
      <c r="AY55" s="76" t="s">
        <v>174</v>
      </c>
      <c r="AZ55" s="76" t="s">
        <v>182</v>
      </c>
    </row>
    <row r="56" spans="1:52" s="5" customFormat="1" ht="49.5" customHeight="1" x14ac:dyDescent="0.2">
      <c r="A56" s="68" t="s">
        <v>24</v>
      </c>
      <c r="B56" s="69" t="s">
        <v>174</v>
      </c>
      <c r="C56" s="56">
        <v>44271</v>
      </c>
      <c r="D56" s="69" t="s">
        <v>48</v>
      </c>
      <c r="E56" s="71" t="s">
        <v>70</v>
      </c>
      <c r="F56" s="72" t="str">
        <f>VLOOKUP(E56,Population!B:D,2,FALSE)</f>
        <v>Core Suburb</v>
      </c>
      <c r="G56" s="153">
        <f>VLOOKUP(E56,Population!B:D,3,FALSE)</f>
        <v>156503</v>
      </c>
      <c r="H56" s="99">
        <v>0.25</v>
      </c>
      <c r="I56" s="99">
        <v>1.4</v>
      </c>
      <c r="J56" s="99">
        <v>2</v>
      </c>
      <c r="K56" s="99">
        <v>2</v>
      </c>
      <c r="L56" s="99" t="s">
        <v>175</v>
      </c>
      <c r="M56" s="74" t="s">
        <v>175</v>
      </c>
      <c r="N56" s="73" t="s">
        <v>189</v>
      </c>
      <c r="O56" s="74" t="s">
        <v>176</v>
      </c>
      <c r="P56" s="116">
        <v>2.5</v>
      </c>
      <c r="Q56" s="115">
        <v>4</v>
      </c>
      <c r="R56" s="115">
        <v>5</v>
      </c>
      <c r="S56" s="77" t="s">
        <v>176</v>
      </c>
      <c r="T56" s="110">
        <v>2</v>
      </c>
      <c r="U56" s="109">
        <v>3.3</v>
      </c>
      <c r="V56" s="109">
        <v>4</v>
      </c>
      <c r="W56" s="96" t="s">
        <v>176</v>
      </c>
      <c r="X56" s="102" t="s">
        <v>176</v>
      </c>
      <c r="Y56" s="76" t="s">
        <v>190</v>
      </c>
      <c r="Z56" s="88" t="s">
        <v>174</v>
      </c>
      <c r="AA56" s="88" t="s">
        <v>182</v>
      </c>
      <c r="AB56" s="88" t="s">
        <v>182</v>
      </c>
      <c r="AC56" s="88" t="s">
        <v>182</v>
      </c>
      <c r="AD56" s="88" t="s">
        <v>182</v>
      </c>
      <c r="AE56" s="88" t="s">
        <v>174</v>
      </c>
      <c r="AF56" s="88" t="s">
        <v>174</v>
      </c>
      <c r="AG56" s="88" t="s">
        <v>182</v>
      </c>
      <c r="AH56" s="88" t="s">
        <v>174</v>
      </c>
      <c r="AI56" s="88" t="s">
        <v>174</v>
      </c>
      <c r="AJ56" s="88" t="s">
        <v>182</v>
      </c>
      <c r="AK56" s="88" t="s">
        <v>182</v>
      </c>
      <c r="AL56" s="88" t="s">
        <v>174</v>
      </c>
      <c r="AM56" s="92" t="s">
        <v>174</v>
      </c>
      <c r="AN56" s="92" t="s">
        <v>182</v>
      </c>
      <c r="AO56" s="92" t="s">
        <v>182</v>
      </c>
      <c r="AP56" s="92" t="s">
        <v>174</v>
      </c>
      <c r="AQ56" s="92" t="s">
        <v>174</v>
      </c>
      <c r="AR56" s="97" t="s">
        <v>174</v>
      </c>
      <c r="AS56" s="97" t="s">
        <v>174</v>
      </c>
      <c r="AT56" s="97" t="s">
        <v>182</v>
      </c>
      <c r="AU56" s="98" t="s">
        <v>182</v>
      </c>
      <c r="AV56" s="76" t="s">
        <v>174</v>
      </c>
      <c r="AW56" s="76" t="s">
        <v>191</v>
      </c>
      <c r="AX56" s="76" t="s">
        <v>174</v>
      </c>
      <c r="AY56" s="76" t="s">
        <v>182</v>
      </c>
      <c r="AZ56" s="76" t="s">
        <v>182</v>
      </c>
    </row>
    <row r="57" spans="1:52" s="5" customFormat="1" ht="49.5" customHeight="1" x14ac:dyDescent="0.2">
      <c r="A57" s="68" t="s">
        <v>11</v>
      </c>
      <c r="B57" s="69" t="s">
        <v>174</v>
      </c>
      <c r="C57" s="85"/>
      <c r="D57" s="69" t="s">
        <v>45</v>
      </c>
      <c r="E57" s="69" t="s">
        <v>89</v>
      </c>
      <c r="F57" s="72" t="str">
        <f>VLOOKUP(E57,Population!B:D,2,FALSE)</f>
        <v>Outer Suburb</v>
      </c>
      <c r="G57" s="153">
        <f>VLOOKUP(E57,Population!B:D,3,FALSE)</f>
        <v>98855</v>
      </c>
      <c r="H57" s="99">
        <v>1.5</v>
      </c>
      <c r="I57" s="99">
        <v>2</v>
      </c>
      <c r="J57" s="99" t="s">
        <v>196</v>
      </c>
      <c r="K57" s="99" t="s">
        <v>176</v>
      </c>
      <c r="L57" s="99">
        <v>0.2</v>
      </c>
      <c r="M57" s="74" t="s">
        <v>186</v>
      </c>
      <c r="N57" s="73" t="s">
        <v>249</v>
      </c>
      <c r="O57" s="74" t="s">
        <v>250</v>
      </c>
      <c r="P57" s="115">
        <v>3.3</v>
      </c>
      <c r="Q57" s="115">
        <v>4</v>
      </c>
      <c r="R57" s="115" t="s">
        <v>176</v>
      </c>
      <c r="S57" s="75" t="s">
        <v>174</v>
      </c>
      <c r="T57" s="109">
        <v>3.3</v>
      </c>
      <c r="U57" s="109">
        <v>4</v>
      </c>
      <c r="V57" s="109" t="s">
        <v>176</v>
      </c>
      <c r="W57" s="95" t="s">
        <v>174</v>
      </c>
      <c r="X57" s="103" t="s">
        <v>176</v>
      </c>
      <c r="Y57" s="79" t="s">
        <v>176</v>
      </c>
      <c r="Z57" s="88" t="s">
        <v>174</v>
      </c>
      <c r="AA57" s="88"/>
      <c r="AB57" s="88" t="s">
        <v>174</v>
      </c>
      <c r="AC57" s="88" t="s">
        <v>174</v>
      </c>
      <c r="AD57" s="88" t="s">
        <v>182</v>
      </c>
      <c r="AE57" s="88"/>
      <c r="AF57" s="88" t="s">
        <v>174</v>
      </c>
      <c r="AG57" s="88" t="s">
        <v>182</v>
      </c>
      <c r="AH57" s="88" t="s">
        <v>174</v>
      </c>
      <c r="AI57" s="88" t="s">
        <v>174</v>
      </c>
      <c r="AJ57" s="88" t="s">
        <v>182</v>
      </c>
      <c r="AK57" s="88" t="s">
        <v>182</v>
      </c>
      <c r="AL57" s="88" t="s">
        <v>174</v>
      </c>
      <c r="AM57" s="92"/>
      <c r="AN57" s="92"/>
      <c r="AO57" s="92"/>
      <c r="AP57" s="92"/>
      <c r="AQ57" s="92"/>
      <c r="AR57" s="97"/>
      <c r="AS57" s="97"/>
      <c r="AT57" s="97"/>
      <c r="AU57" s="97"/>
      <c r="AV57" s="76" t="s">
        <v>174</v>
      </c>
      <c r="AW57" s="76" t="s">
        <v>251</v>
      </c>
      <c r="AX57" s="76" t="s">
        <v>182</v>
      </c>
      <c r="AY57" s="76" t="s">
        <v>182</v>
      </c>
      <c r="AZ57" s="76" t="s">
        <v>182</v>
      </c>
    </row>
    <row r="58" spans="1:52" s="5" customFormat="1" ht="49.5" customHeight="1" x14ac:dyDescent="0.2">
      <c r="A58" s="68" t="s">
        <v>24</v>
      </c>
      <c r="B58" s="69" t="s">
        <v>174</v>
      </c>
      <c r="C58" s="55">
        <v>44266</v>
      </c>
      <c r="D58" s="69" t="s">
        <v>45</v>
      </c>
      <c r="E58" s="71" t="s">
        <v>67</v>
      </c>
      <c r="F58" s="72" t="str">
        <f>VLOOKUP(E58,Population!B:D,2,FALSE)</f>
        <v>Core Suburb</v>
      </c>
      <c r="G58" s="153">
        <f>VLOOKUP(E58,Population!B:D,3,FALSE)</f>
        <v>119063</v>
      </c>
      <c r="H58" s="99">
        <v>1</v>
      </c>
      <c r="I58" s="99">
        <v>2</v>
      </c>
      <c r="J58" s="99" t="s">
        <v>176</v>
      </c>
      <c r="K58" s="99" t="s">
        <v>176</v>
      </c>
      <c r="L58" s="99">
        <v>0.2</v>
      </c>
      <c r="M58" s="74" t="s">
        <v>175</v>
      </c>
      <c r="N58" s="73" t="s">
        <v>279</v>
      </c>
      <c r="O58" s="74" t="s">
        <v>176</v>
      </c>
      <c r="P58" s="115">
        <f>1/600*1000</f>
        <v>1.6666666666666667</v>
      </c>
      <c r="Q58" s="115">
        <f>1/250*1000</f>
        <v>4</v>
      </c>
      <c r="R58" s="115" t="s">
        <v>176</v>
      </c>
      <c r="S58" s="77" t="s">
        <v>174</v>
      </c>
      <c r="T58" s="109">
        <f>1/450*1000</f>
        <v>2.2222222222222223</v>
      </c>
      <c r="U58" s="109">
        <f>1/350*1000</f>
        <v>2.8571428571428572</v>
      </c>
      <c r="V58" s="109" t="s">
        <v>176</v>
      </c>
      <c r="W58" s="96" t="s">
        <v>174</v>
      </c>
      <c r="X58" s="102" t="s">
        <v>176</v>
      </c>
      <c r="Y58" s="76" t="s">
        <v>176</v>
      </c>
      <c r="Z58" s="88" t="s">
        <v>174</v>
      </c>
      <c r="AA58" s="88" t="s">
        <v>182</v>
      </c>
      <c r="AB58" s="88" t="s">
        <v>174</v>
      </c>
      <c r="AC58" s="88" t="s">
        <v>174</v>
      </c>
      <c r="AD58" s="88" t="s">
        <v>174</v>
      </c>
      <c r="AE58" s="88" t="s">
        <v>182</v>
      </c>
      <c r="AF58" s="88" t="s">
        <v>182</v>
      </c>
      <c r="AG58" s="88" t="s">
        <v>182</v>
      </c>
      <c r="AH58" s="88" t="s">
        <v>174</v>
      </c>
      <c r="AI58" s="88" t="s">
        <v>174</v>
      </c>
      <c r="AJ58" s="88" t="s">
        <v>182</v>
      </c>
      <c r="AK58" s="88" t="s">
        <v>182</v>
      </c>
      <c r="AL58" s="88" t="s">
        <v>182</v>
      </c>
      <c r="AM58" s="92" t="s">
        <v>174</v>
      </c>
      <c r="AN58" s="92" t="s">
        <v>174</v>
      </c>
      <c r="AO58" s="92" t="s">
        <v>182</v>
      </c>
      <c r="AP58" s="92" t="s">
        <v>182</v>
      </c>
      <c r="AQ58" s="92" t="s">
        <v>182</v>
      </c>
      <c r="AR58" s="97" t="s">
        <v>174</v>
      </c>
      <c r="AS58" s="97" t="s">
        <v>174</v>
      </c>
      <c r="AT58" s="97" t="s">
        <v>174</v>
      </c>
      <c r="AU58" s="97" t="s">
        <v>182</v>
      </c>
      <c r="AV58" s="76" t="s">
        <v>174</v>
      </c>
      <c r="AW58" s="76" t="s">
        <v>280</v>
      </c>
      <c r="AX58" s="76" t="s">
        <v>182</v>
      </c>
      <c r="AY58" s="76" t="s">
        <v>182</v>
      </c>
      <c r="AZ58" s="76" t="s">
        <v>182</v>
      </c>
    </row>
    <row r="59" spans="1:52" s="7" customFormat="1" ht="49.5" customHeight="1" x14ac:dyDescent="0.2">
      <c r="A59" s="68" t="s">
        <v>4</v>
      </c>
      <c r="B59" s="69" t="s">
        <v>174</v>
      </c>
      <c r="C59" s="55">
        <v>44290</v>
      </c>
      <c r="D59" s="69" t="s">
        <v>9</v>
      </c>
      <c r="E59" s="71" t="s">
        <v>101</v>
      </c>
      <c r="F59" s="72" t="str">
        <f>VLOOKUP(E59,Population!B:D,2,FALSE)</f>
        <v>Urban Area</v>
      </c>
      <c r="G59" s="153">
        <f>VLOOKUP(E59,Population!B:D,3,FALSE)</f>
        <v>70860</v>
      </c>
      <c r="H59" s="99">
        <v>1.25</v>
      </c>
      <c r="I59" s="99">
        <v>2</v>
      </c>
      <c r="J59" s="99" t="s">
        <v>196</v>
      </c>
      <c r="K59" s="99" t="s">
        <v>176</v>
      </c>
      <c r="L59" s="99">
        <v>0.15</v>
      </c>
      <c r="M59" s="74" t="s">
        <v>306</v>
      </c>
      <c r="N59" s="73" t="s">
        <v>187</v>
      </c>
      <c r="O59" s="74" t="s">
        <v>176</v>
      </c>
      <c r="P59" s="115">
        <f>1/250*1000</f>
        <v>4</v>
      </c>
      <c r="Q59" s="115">
        <f>1/250*1000</f>
        <v>4</v>
      </c>
      <c r="R59" s="115" t="s">
        <v>176</v>
      </c>
      <c r="S59" s="77" t="s">
        <v>307</v>
      </c>
      <c r="T59" s="109">
        <f>1/285.7*1000</f>
        <v>3.5001750087504377</v>
      </c>
      <c r="U59" s="109">
        <f>1/200*1000</f>
        <v>5</v>
      </c>
      <c r="V59" s="109" t="s">
        <v>197</v>
      </c>
      <c r="W59" s="96" t="s">
        <v>308</v>
      </c>
      <c r="X59" s="102" t="s">
        <v>176</v>
      </c>
      <c r="Y59" s="76" t="s">
        <v>197</v>
      </c>
      <c r="Z59" s="88" t="s">
        <v>174</v>
      </c>
      <c r="AA59" s="88" t="s">
        <v>182</v>
      </c>
      <c r="AB59" s="88" t="s">
        <v>182</v>
      </c>
      <c r="AC59" s="88" t="s">
        <v>174</v>
      </c>
      <c r="AD59" s="88" t="s">
        <v>174</v>
      </c>
      <c r="AE59" s="88" t="s">
        <v>182</v>
      </c>
      <c r="AF59" s="88" t="s">
        <v>182</v>
      </c>
      <c r="AG59" s="88" t="s">
        <v>182</v>
      </c>
      <c r="AH59" s="88" t="s">
        <v>174</v>
      </c>
      <c r="AI59" s="88" t="s">
        <v>174</v>
      </c>
      <c r="AJ59" s="88" t="s">
        <v>174</v>
      </c>
      <c r="AK59" s="88" t="s">
        <v>174</v>
      </c>
      <c r="AL59" s="88" t="s">
        <v>174</v>
      </c>
      <c r="AM59" s="92" t="s">
        <v>174</v>
      </c>
      <c r="AN59" s="92" t="s">
        <v>174</v>
      </c>
      <c r="AO59" s="92" t="s">
        <v>174</v>
      </c>
      <c r="AP59" s="92" t="s">
        <v>182</v>
      </c>
      <c r="AQ59" s="92" t="s">
        <v>182</v>
      </c>
      <c r="AR59" s="97" t="s">
        <v>174</v>
      </c>
      <c r="AS59" s="97" t="s">
        <v>174</v>
      </c>
      <c r="AT59" s="97" t="s">
        <v>182</v>
      </c>
      <c r="AU59" s="97" t="s">
        <v>182</v>
      </c>
      <c r="AV59" s="76" t="s">
        <v>174</v>
      </c>
      <c r="AW59" s="76" t="s">
        <v>309</v>
      </c>
      <c r="AX59" s="76" t="s">
        <v>182</v>
      </c>
      <c r="AY59" s="76" t="s">
        <v>182</v>
      </c>
      <c r="AZ59" s="76" t="s">
        <v>182</v>
      </c>
    </row>
    <row r="60" spans="1:52" s="5" customFormat="1" ht="49.5" customHeight="1" x14ac:dyDescent="0.2">
      <c r="A60" s="68"/>
      <c r="B60" s="69" t="s">
        <v>182</v>
      </c>
      <c r="C60" s="55">
        <v>44302</v>
      </c>
      <c r="D60" s="69" t="s">
        <v>42</v>
      </c>
      <c r="E60" s="71" t="s">
        <v>96</v>
      </c>
      <c r="F60" s="72" t="str">
        <f>VLOOKUP(E60,Population!B:D,2,FALSE)</f>
        <v>Outer Suburb</v>
      </c>
      <c r="G60" s="153">
        <f>VLOOKUP(E60,Population!B:D,3,FALSE)</f>
        <v>28248</v>
      </c>
      <c r="H60" s="99">
        <v>1</v>
      </c>
      <c r="I60" s="99">
        <v>2</v>
      </c>
      <c r="J60" s="99">
        <v>2</v>
      </c>
      <c r="K60" s="99" t="s">
        <v>175</v>
      </c>
      <c r="L60" s="99">
        <v>0.5</v>
      </c>
      <c r="M60" s="74" t="s">
        <v>175</v>
      </c>
      <c r="N60" s="78" t="s">
        <v>184</v>
      </c>
      <c r="O60" s="74" t="s">
        <v>175</v>
      </c>
      <c r="P60" s="115">
        <v>2</v>
      </c>
      <c r="Q60" s="115">
        <v>5</v>
      </c>
      <c r="R60" s="115" t="s">
        <v>175</v>
      </c>
      <c r="S60" s="77" t="s">
        <v>175</v>
      </c>
      <c r="T60" s="109">
        <v>4</v>
      </c>
      <c r="U60" s="109">
        <v>4</v>
      </c>
      <c r="V60" s="109" t="s">
        <v>175</v>
      </c>
      <c r="W60" s="96" t="s">
        <v>175</v>
      </c>
      <c r="X60" s="102" t="s">
        <v>175</v>
      </c>
      <c r="Y60" s="76" t="s">
        <v>175</v>
      </c>
      <c r="Z60" s="88" t="s">
        <v>174</v>
      </c>
      <c r="AA60" s="88" t="s">
        <v>182</v>
      </c>
      <c r="AB60" s="88" t="s">
        <v>182</v>
      </c>
      <c r="AC60" s="88" t="s">
        <v>174</v>
      </c>
      <c r="AD60" s="88" t="s">
        <v>182</v>
      </c>
      <c r="AE60" s="88" t="s">
        <v>174</v>
      </c>
      <c r="AF60" s="88" t="s">
        <v>174</v>
      </c>
      <c r="AG60" s="88" t="s">
        <v>182</v>
      </c>
      <c r="AH60" s="88" t="s">
        <v>174</v>
      </c>
      <c r="AI60" s="88" t="s">
        <v>174</v>
      </c>
      <c r="AJ60" s="88" t="s">
        <v>182</v>
      </c>
      <c r="AK60" s="88" t="s">
        <v>174</v>
      </c>
      <c r="AL60" s="88"/>
      <c r="AM60" s="92" t="s">
        <v>182</v>
      </c>
      <c r="AN60" s="92" t="s">
        <v>182</v>
      </c>
      <c r="AO60" s="92" t="s">
        <v>182</v>
      </c>
      <c r="AP60" s="92" t="s">
        <v>182</v>
      </c>
      <c r="AQ60" s="92" t="s">
        <v>182</v>
      </c>
      <c r="AR60" s="97" t="s">
        <v>182</v>
      </c>
      <c r="AS60" s="98" t="s">
        <v>174</v>
      </c>
      <c r="AT60" s="98" t="s">
        <v>174</v>
      </c>
      <c r="AU60" s="97" t="s">
        <v>182</v>
      </c>
      <c r="AV60" s="76" t="s">
        <v>174</v>
      </c>
      <c r="AW60" s="76" t="s">
        <v>175</v>
      </c>
      <c r="AX60" s="76" t="s">
        <v>182</v>
      </c>
      <c r="AY60" s="76" t="s">
        <v>182</v>
      </c>
      <c r="AZ60" s="76" t="s">
        <v>182</v>
      </c>
    </row>
    <row r="62" spans="1:52" x14ac:dyDescent="0.2">
      <c r="R62" s="107"/>
      <c r="T62" s="111"/>
      <c r="W62" s="17"/>
      <c r="X62" s="106"/>
      <c r="Y62" s="17"/>
      <c r="AF62" s="18"/>
      <c r="AK62" s="17"/>
      <c r="AM62" s="19"/>
      <c r="AR62" s="20"/>
      <c r="AS62" s="37"/>
      <c r="AT62" s="20"/>
      <c r="AU62" s="20"/>
      <c r="AV62" s="9"/>
      <c r="AW62" s="9"/>
      <c r="AX62" s="9"/>
      <c r="AY62" s="9"/>
      <c r="AZ62" s="9"/>
    </row>
  </sheetData>
  <autoFilter ref="A2:AZ60" xr:uid="{8B6CB5BF-21F5-4AA4-A700-76B86ACADE1A}">
    <sortState xmlns:xlrd2="http://schemas.microsoft.com/office/spreadsheetml/2017/richdata2" ref="A3:AZ60">
      <sortCondition ref="E2:E60"/>
    </sortState>
  </autoFilter>
  <sortState xmlns:xlrd2="http://schemas.microsoft.com/office/spreadsheetml/2017/richdata2" ref="A3:AZ60">
    <sortCondition ref="A3:A60"/>
    <sortCondition ref="E3:E60"/>
  </sortState>
  <mergeCells count="9">
    <mergeCell ref="B1:F1"/>
    <mergeCell ref="H1:O1"/>
    <mergeCell ref="P1:S1"/>
    <mergeCell ref="AV1:AZ1"/>
    <mergeCell ref="AM1:AQ1"/>
    <mergeCell ref="AR1:AU1"/>
    <mergeCell ref="T1:W1"/>
    <mergeCell ref="X1:Y1"/>
    <mergeCell ref="Z1:AL1"/>
  </mergeCells>
  <phoneticPr fontId="1" type="noConversion"/>
  <hyperlinks>
    <hyperlink ref="AJ52" r:id="rId1" xr:uid="{5026A43A-1CA9-4078-8713-B4DB41E861E0}"/>
    <hyperlink ref="AR19" r:id="rId2" location="!/html/Fremont10/Fremont1020.html" xr:uid="{3E97B645-C046-4597-A576-54720FD07A47}"/>
    <hyperlink ref="AS33" r:id="rId3" xr:uid="{FF4A885F-EFC7-441A-87D3-568151796588}"/>
    <hyperlink ref="AU33" r:id="rId4" xr:uid="{2B56FD46-F830-4424-9406-9FD041475EBF}"/>
    <hyperlink ref="AU3" r:id="rId5" xr:uid="{98525BD1-9F54-4809-B489-C2AB0E829466}"/>
    <hyperlink ref="AS60" r:id="rId6" xr:uid="{DE75DCEC-3D48-49A3-8CE0-C2770248FB66}"/>
    <hyperlink ref="AT60" r:id="rId7" xr:uid="{B427B0A9-F8C9-4D82-9769-4E5FC4EF8B0C}"/>
    <hyperlink ref="E60" r:id="rId8" xr:uid="{0481A610-31FD-429F-9387-3E19500A00B3}"/>
    <hyperlink ref="E49" r:id="rId9" xr:uid="{C4CAEBD6-714D-4274-9235-C1C4A65EFDC2}"/>
    <hyperlink ref="E23" r:id="rId10" xr:uid="{C82E373E-9E22-4428-A0F5-76754DD33ECE}"/>
    <hyperlink ref="E5" r:id="rId11" xr:uid="{32A9E3E0-51D5-46BB-B021-E7E71F4C26B6}"/>
    <hyperlink ref="E7" r:id="rId12" xr:uid="{23D1A65C-718F-498E-865E-9973B2D6FE51}"/>
    <hyperlink ref="E59" r:id="rId13" xr:uid="{988B71E9-8D64-4973-A035-62EA058CFF7C}"/>
    <hyperlink ref="E6" r:id="rId14" xr:uid="{601041EE-25B9-49F0-B6D9-B00779F18CB6}"/>
    <hyperlink ref="E8" r:id="rId15" xr:uid="{C9ADBCAA-4949-465D-A2B6-B45AF0AA0756}"/>
    <hyperlink ref="E9" r:id="rId16" xr:uid="{8E331255-9CF2-4443-A42B-F8CFC0AAD6B6}"/>
    <hyperlink ref="E12" r:id="rId17" xr:uid="{509048DF-9DCC-4AE9-AECF-90DF4D4F699C}"/>
    <hyperlink ref="E18" r:id="rId18" xr:uid="{782D42FA-6B58-452A-AF36-5CC57D633DE5}"/>
    <hyperlink ref="E19" r:id="rId19" location="!/Fremont18/Fremont18183.html" xr:uid="{3967D8BC-C8C3-4395-9836-710E0C4A3E2C}"/>
    <hyperlink ref="E21" r:id="rId20" xr:uid="{20E38847-175D-4C8E-91C1-CC6BE2020087}"/>
    <hyperlink ref="E30" r:id="rId21" display="Napa City " xr:uid="{3038F0BD-D47B-4535-A1D1-F7A71E4B74B8}"/>
    <hyperlink ref="E33" r:id="rId22" xr:uid="{A1EFB49E-0B13-4C1F-B778-4E513795479C}"/>
    <hyperlink ref="E36" r:id="rId23" xr:uid="{382CA79D-8680-49D4-B2AD-E908B23E4ADE}"/>
    <hyperlink ref="E45" r:id="rId24" xr:uid="{C1D427D5-AE18-4B39-83DD-DADD4D31A0BB}"/>
    <hyperlink ref="E47" r:id="rId25" xr:uid="{92B970D2-DEC4-47DE-8AC9-BB65A12624E1}"/>
    <hyperlink ref="E50" r:id="rId26" xr:uid="{0A476452-82FA-4505-8924-D7D9B986DC2F}"/>
    <hyperlink ref="E52" r:id="rId27" xr:uid="{49C7C2EE-934D-4897-855D-C959B0726538}"/>
    <hyperlink ref="E54" r:id="rId28" xr:uid="{46B383FC-02EF-462A-A241-900E5B8713F4}"/>
    <hyperlink ref="E58" r:id="rId29" xr:uid="{65518991-4B73-468D-94AF-AE7457432E07}"/>
    <hyperlink ref="E56" r:id="rId30" xr:uid="{B784E93A-02E2-4911-9A60-067D19E176CB}"/>
    <hyperlink ref="E41" r:id="rId31" xr:uid="{596F07CB-DCB9-46FB-9493-961AF01FF202}"/>
    <hyperlink ref="E25" r:id="rId32" location="!/Millbrae10/Millbrae1005.html" xr:uid="{0B97116B-DAA7-4EE7-BFC6-2291DAAB8F64}"/>
    <hyperlink ref="E46" r:id="rId33" xr:uid="{93117AE1-581C-4DBF-A59D-B71761BF0AE8}"/>
    <hyperlink ref="E42" r:id="rId34" xr:uid="{C6C1BA4E-5BE1-4503-8A49-C2EA2229C0FA}"/>
    <hyperlink ref="E53" r:id="rId35" xr:uid="{E049A54A-6297-4B47-9D33-81F2C91617CD}"/>
    <hyperlink ref="E26" r:id="rId36" xr:uid="{6BD088C9-C73D-4233-930F-FCC06696AEE3}"/>
    <hyperlink ref="E17" r:id="rId37" xr:uid="{7C49DC8A-E825-4FDA-9D3E-26489F0ADAB8}"/>
    <hyperlink ref="E16" r:id="rId38" xr:uid="{FE06D130-755C-4DBF-B3D6-48E36AAAE34D}"/>
    <hyperlink ref="E3" r:id="rId39" xr:uid="{B919AD2A-B3D2-4D71-B894-5256850F353C}"/>
    <hyperlink ref="E43" r:id="rId40" xr:uid="{B6F2AFBA-DBE5-48A8-BB82-EF07CA556B5E}"/>
    <hyperlink ref="E31" r:id="rId41" xr:uid="{2B5665C7-C66B-4AE0-B20A-59A00CDF1ADC}"/>
    <hyperlink ref="E15" r:id="rId42" xr:uid="{0073255D-59EA-4E00-9D0F-07E429A7C431}"/>
    <hyperlink ref="E28" r:id="rId43" xr:uid="{CC09B275-45B8-455C-8459-23EB328EA48A}"/>
    <hyperlink ref="E13" r:id="rId44" xr:uid="{2053F471-1DF6-4860-ABDF-6F29F6DFE380}"/>
    <hyperlink ref="E38" r:id="rId45" xr:uid="{48B7DFEF-4E8F-4712-AA4B-994C16CDC8DE}"/>
    <hyperlink ref="E29" r:id="rId46" xr:uid="{9B1B85F8-4911-4F26-A8AB-7ACA662E9A3E}"/>
    <hyperlink ref="E39" r:id="rId47" xr:uid="{17C6FBBA-5C8A-4DB1-8309-2C76918821F6}"/>
  </hyperlinks>
  <printOptions horizontalCentered="1"/>
  <pageMargins left="0.3" right="0.3" top="0.75" bottom="0.75" header="0.3" footer="0.3"/>
  <pageSetup scale="65" fitToWidth="0" fitToHeight="4" orientation="portrait" r:id="rId48"/>
  <headerFooter>
    <oddHeader>&amp;RBay Area Parking Standard Survey: Citywide
March 3, 2012</oddHeader>
  </headerFooter>
  <colBreaks count="3" manualBreakCount="3">
    <brk id="15" max="1048575" man="1"/>
    <brk id="25" max="1048575" man="1"/>
    <brk id="4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4945B-EE6F-4CD0-AC4B-A30D2AAE1B76}">
  <dimension ref="A1:M42"/>
  <sheetViews>
    <sheetView zoomScaleNormal="100" zoomScaleSheetLayoutView="100" workbookViewId="0">
      <pane xSplit="3" ySplit="2" topLeftCell="D3" activePane="bottomRight" state="frozen"/>
      <selection pane="topRight" activeCell="F1" sqref="F1"/>
      <selection pane="bottomLeft" activeCell="B3" sqref="B3"/>
      <selection pane="bottomRight" activeCell="F11" sqref="F11"/>
    </sheetView>
  </sheetViews>
  <sheetFormatPr defaultColWidth="8.85546875" defaultRowHeight="12.75" x14ac:dyDescent="0.2"/>
  <cols>
    <col min="1" max="1" width="13.5703125" style="23" customWidth="1"/>
    <col min="2" max="2" width="15.140625" style="23" bestFit="1" customWidth="1"/>
    <col min="3" max="3" width="19.28515625" style="11" customWidth="1"/>
    <col min="4" max="8" width="13.7109375" style="17" customWidth="1"/>
    <col min="9" max="9" width="13.7109375" style="20" customWidth="1"/>
    <col min="10" max="13" width="13.7109375" style="17" customWidth="1"/>
    <col min="14" max="16384" width="8.85546875" style="9"/>
  </cols>
  <sheetData>
    <row r="1" spans="1:13" s="29" customFormat="1" x14ac:dyDescent="0.2">
      <c r="A1" s="168" t="s">
        <v>114</v>
      </c>
      <c r="B1" s="168"/>
      <c r="C1" s="168"/>
      <c r="D1" s="170" t="s">
        <v>443</v>
      </c>
      <c r="E1" s="171"/>
      <c r="F1" s="171"/>
      <c r="G1" s="171"/>
      <c r="H1" s="171"/>
      <c r="I1" s="171"/>
      <c r="J1" s="164" t="s">
        <v>444</v>
      </c>
      <c r="K1" s="164"/>
      <c r="L1" s="164"/>
      <c r="M1" s="164"/>
    </row>
    <row r="2" spans="1:13" s="26" customFormat="1" ht="38.25" x14ac:dyDescent="0.2">
      <c r="A2" s="84" t="s">
        <v>0</v>
      </c>
      <c r="B2" s="84" t="s">
        <v>1</v>
      </c>
      <c r="C2" s="84" t="s">
        <v>352</v>
      </c>
      <c r="D2" s="2" t="s">
        <v>116</v>
      </c>
      <c r="E2" s="2" t="s">
        <v>117</v>
      </c>
      <c r="F2" s="2" t="s">
        <v>118</v>
      </c>
      <c r="G2" s="2" t="s">
        <v>119</v>
      </c>
      <c r="H2" s="2" t="s">
        <v>120</v>
      </c>
      <c r="I2" s="2" t="s">
        <v>121</v>
      </c>
      <c r="J2" s="15" t="s">
        <v>122</v>
      </c>
      <c r="K2" s="32" t="s">
        <v>125</v>
      </c>
      <c r="L2" s="32" t="s">
        <v>124</v>
      </c>
      <c r="M2" s="32" t="s">
        <v>123</v>
      </c>
    </row>
    <row r="3" spans="1:13" s="25" customFormat="1" ht="25.5" x14ac:dyDescent="0.2">
      <c r="A3" s="132" t="s">
        <v>4</v>
      </c>
      <c r="B3" s="132" t="s">
        <v>4</v>
      </c>
      <c r="C3" s="121" t="s">
        <v>403</v>
      </c>
      <c r="D3" s="99">
        <f>IF(VLOOKUP(C3,'Special Districts'!D:AB,4,FALSE)&lt;1.0001,VLOOKUP(C3,'Special Districts'!D:AB,4,FALSE),"-")</f>
        <v>1</v>
      </c>
      <c r="E3" s="99">
        <f>IF(VLOOKUP(C3,'Special Districts'!D:AB,10,FALSE)&lt;3.0001,VLOOKUP(C3,'Special Districts'!D:AB,10,FALSE),"-")</f>
        <v>2.9</v>
      </c>
      <c r="F3" s="99" t="str">
        <f>IF(VLOOKUP(C3,'Special Districts'!D:AB,14,FALSE)&lt;2.0001,VLOOKUP(C3,'Special Districts'!D:AB,14,FALSE),"-")</f>
        <v>-</v>
      </c>
      <c r="G3" s="99">
        <f>VLOOKUP(C3,'Special Districts'!D:AB,6,FALSE)</f>
        <v>2</v>
      </c>
      <c r="H3" s="99">
        <f>VLOOKUP(C3,'Special Districts'!D:AB,11,FALSE)</f>
        <v>5</v>
      </c>
      <c r="I3" s="99">
        <f>VLOOKUP(C3,'Special Districts'!D:AB,15,FALSE)</f>
        <v>4</v>
      </c>
      <c r="J3" s="88" t="str">
        <f>VLOOKUP(C3,'Special Districts'!D:AB,20,FALSE)</f>
        <v>-</v>
      </c>
      <c r="K3" s="88" t="str">
        <f>VLOOKUP(C3,'Special Districts'!D:AB,21,FALSE)</f>
        <v>-</v>
      </c>
      <c r="L3" s="88" t="str">
        <f>VLOOKUP(C3,'Special Districts'!D:AB,22,FALSE)</f>
        <v>-</v>
      </c>
      <c r="M3" s="88" t="str">
        <f>VLOOKUP(C3,'Special Districts'!D:AB,24,FALSE)</f>
        <v>-</v>
      </c>
    </row>
    <row r="4" spans="1:13" s="25" customFormat="1" x14ac:dyDescent="0.2">
      <c r="A4" s="120" t="s">
        <v>9</v>
      </c>
      <c r="B4" s="120" t="s">
        <v>78</v>
      </c>
      <c r="C4" s="119" t="s">
        <v>408</v>
      </c>
      <c r="D4" s="99">
        <f>IF(VLOOKUP(C4,'Special Districts'!D:AB,4,FALSE)&lt;1.0001,VLOOKUP(C4,'Special Districts'!D:AB,4,FALSE),"-")</f>
        <v>0</v>
      </c>
      <c r="E4" s="99" t="str">
        <f>IF(VLOOKUP(C4,'Special Districts'!D:AB,10,FALSE)&lt;3.0001,VLOOKUP(C4,'Special Districts'!D:AB,10,FALSE),"-")</f>
        <v>-</v>
      </c>
      <c r="F4" s="99" t="str">
        <f>IF(VLOOKUP(C4,'Special Districts'!D:AB,14,FALSE)&lt;2.0001,VLOOKUP(C4,'Special Districts'!D:AB,14,FALSE),"-")</f>
        <v>-</v>
      </c>
      <c r="G4" s="99" t="str">
        <f>VLOOKUP(C4,'Special Districts'!D:AB,6,FALSE)</f>
        <v xml:space="preserve"> -</v>
      </c>
      <c r="H4" s="99">
        <f>VLOOKUP(C4,'Special Districts'!D:AB,11,FALSE)</f>
        <v>4</v>
      </c>
      <c r="I4" s="99">
        <f>VLOOKUP(C4,'Special Districts'!D:AB,15,FALSE)</f>
        <v>3</v>
      </c>
      <c r="J4" s="88" t="str">
        <f>VLOOKUP(C4,'Special Districts'!D:AB,20,FALSE)</f>
        <v>-</v>
      </c>
      <c r="K4" s="88" t="str">
        <f>VLOOKUP(C4,'Special Districts'!D:AB,21,FALSE)</f>
        <v>-</v>
      </c>
      <c r="L4" s="88" t="str">
        <f>VLOOKUP(C4,'Special Districts'!D:AB,22,FALSE)</f>
        <v>-</v>
      </c>
      <c r="M4" s="88" t="str">
        <f>VLOOKUP(C4,'Special Districts'!D:AB,24,FALSE)</f>
        <v>-</v>
      </c>
    </row>
    <row r="5" spans="1:13" s="25" customFormat="1" ht="38.25" x14ac:dyDescent="0.2">
      <c r="A5" s="120" t="s">
        <v>24</v>
      </c>
      <c r="B5" s="120" t="s">
        <v>72</v>
      </c>
      <c r="C5" s="121" t="s">
        <v>414</v>
      </c>
      <c r="D5" s="99" t="str">
        <f>IF(VLOOKUP(C5,'Special Districts'!D:AB,4,FALSE)&lt;1.0001,VLOOKUP(C5,'Special Districts'!D:AB,4,FALSE),"-")</f>
        <v>-</v>
      </c>
      <c r="E5" s="99">
        <f>IF(VLOOKUP(C5,'Special Districts'!D:AB,10,FALSE)&lt;3.0001,VLOOKUP(C5,'Special Districts'!D:AB,10,FALSE),"-")</f>
        <v>2</v>
      </c>
      <c r="F5" s="99" t="str">
        <f>IF(VLOOKUP(C5,'Special Districts'!D:AB,14,FALSE)&lt;2.0001,VLOOKUP(C5,'Special Districts'!D:AB,14,FALSE),"-")</f>
        <v>-</v>
      </c>
      <c r="G5" s="99">
        <f>VLOOKUP(C5,'Special Districts'!D:AB,6,FALSE)</f>
        <v>2</v>
      </c>
      <c r="H5" s="99">
        <f>VLOOKUP(C5,'Special Districts'!D:AB,11,FALSE)</f>
        <v>4</v>
      </c>
      <c r="I5" s="99">
        <f>VLOOKUP(C5,'Special Districts'!D:AB,15,FALSE)</f>
        <v>5</v>
      </c>
      <c r="J5" s="88" t="str">
        <f>VLOOKUP(C5,'Special Districts'!D:AB,20,FALSE)</f>
        <v>Yes</v>
      </c>
      <c r="K5" s="88" t="str">
        <f>VLOOKUP(C5,'Special Districts'!D:AB,21,FALSE)</f>
        <v>-</v>
      </c>
      <c r="L5" s="88" t="str">
        <f>VLOOKUP(C5,'Special Districts'!D:AB,22,FALSE)</f>
        <v>-</v>
      </c>
      <c r="M5" s="88" t="str">
        <f>VLOOKUP(C5,'Special Districts'!D:AB,24,FALSE)</f>
        <v>Yes</v>
      </c>
    </row>
    <row r="6" spans="1:13" s="25" customFormat="1" ht="25.5" x14ac:dyDescent="0.2">
      <c r="A6" s="120" t="s">
        <v>45</v>
      </c>
      <c r="B6" s="120" t="s">
        <v>86</v>
      </c>
      <c r="C6" s="121" t="s">
        <v>357</v>
      </c>
      <c r="D6" s="99">
        <f>IF(VLOOKUP(C6,'Special Districts'!D:AB,4,FALSE)&lt;1.0001,VLOOKUP(C6,'Special Districts'!D:AB,4,FALSE),"-")</f>
        <v>1</v>
      </c>
      <c r="E6" s="99">
        <f>IF(VLOOKUP(C6,'Special Districts'!D:AB,10,FALSE)&lt;3.0001,VLOOKUP(C6,'Special Districts'!D:AB,10,FALSE),"-")</f>
        <v>2</v>
      </c>
      <c r="F6" s="99">
        <f>IF(VLOOKUP(C6,'Special Districts'!D:AB,14,FALSE)&lt;2.0001,VLOOKUP(C6,'Special Districts'!D:AB,14,FALSE),"-")</f>
        <v>2</v>
      </c>
      <c r="G6" s="99" t="str">
        <f>VLOOKUP(C6,'Special Districts'!D:AB,6,FALSE)</f>
        <v>-</v>
      </c>
      <c r="H6" s="99" t="str">
        <f>VLOOKUP(C6,'Special Districts'!D:AB,11,FALSE)</f>
        <v>-</v>
      </c>
      <c r="I6" s="99" t="str">
        <f>VLOOKUP(C6,'Special Districts'!D:AB,15,FALSE)</f>
        <v>-</v>
      </c>
      <c r="J6" s="88" t="str">
        <f>VLOOKUP(C6,'Special Districts'!D:AB,20,FALSE)</f>
        <v>Yes</v>
      </c>
      <c r="K6" s="88" t="str">
        <f>VLOOKUP(C6,'Special Districts'!D:AB,21,FALSE)</f>
        <v>-</v>
      </c>
      <c r="L6" s="88" t="str">
        <f>VLOOKUP(C6,'Special Districts'!D:AB,22,FALSE)</f>
        <v>-</v>
      </c>
      <c r="M6" s="88" t="str">
        <f>VLOOKUP(C6,'Special Districts'!D:AB,24,FALSE)</f>
        <v>Yes</v>
      </c>
    </row>
    <row r="7" spans="1:13" s="25" customFormat="1" ht="38.25" x14ac:dyDescent="0.2">
      <c r="A7" s="120" t="s">
        <v>4</v>
      </c>
      <c r="B7" s="120" t="s">
        <v>108</v>
      </c>
      <c r="C7" s="121" t="s">
        <v>359</v>
      </c>
      <c r="D7" s="99">
        <f>IF(VLOOKUP(C7,'Special Districts'!D:AB,4,FALSE)&lt;1.0001,VLOOKUP(C7,'Special Districts'!D:AB,4,FALSE),"-")</f>
        <v>0</v>
      </c>
      <c r="E7" s="99" t="str">
        <f>IF(VLOOKUP(C7,'Special Districts'!D:AB,10,FALSE)&lt;3.0001,VLOOKUP(C7,'Special Districts'!D:AB,10,FALSE),"-")</f>
        <v>-</v>
      </c>
      <c r="F7" s="99" t="str">
        <f>IF(VLOOKUP(C7,'Special Districts'!D:AB,14,FALSE)&lt;2.0001,VLOOKUP(C7,'Special Districts'!D:AB,14,FALSE),"-")</f>
        <v>-</v>
      </c>
      <c r="G7" s="99" t="str">
        <f>VLOOKUP(C7,'Special Districts'!D:AB,6,FALSE)</f>
        <v>-</v>
      </c>
      <c r="H7" s="99" t="str">
        <f>VLOOKUP(C7,'Special Districts'!D:AB,11,FALSE)</f>
        <v>-</v>
      </c>
      <c r="I7" s="99" t="str">
        <f>VLOOKUP(C7,'Special Districts'!D:AB,15,FALSE)</f>
        <v>-</v>
      </c>
      <c r="J7" s="88" t="str">
        <f>VLOOKUP(C7,'Special Districts'!D:AB,20,FALSE)</f>
        <v>-</v>
      </c>
      <c r="K7" s="88" t="str">
        <f>VLOOKUP(C7,'Special Districts'!D:AB,21,FALSE)</f>
        <v>-</v>
      </c>
      <c r="L7" s="88" t="str">
        <f>VLOOKUP(C7,'Special Districts'!D:AB,22,FALSE)</f>
        <v>-</v>
      </c>
      <c r="M7" s="88" t="str">
        <f>VLOOKUP(C7,'Special Districts'!D:AB,24,FALSE)</f>
        <v>-</v>
      </c>
    </row>
    <row r="8" spans="1:13" s="6" customFormat="1" ht="38.25" x14ac:dyDescent="0.2">
      <c r="A8" s="120" t="s">
        <v>364</v>
      </c>
      <c r="B8" s="120" t="s">
        <v>108</v>
      </c>
      <c r="C8" s="121" t="s">
        <v>365</v>
      </c>
      <c r="D8" s="99" t="str">
        <f>IF(VLOOKUP(C8,'Special Districts'!D:AB,4,FALSE)&lt;1.0001,VLOOKUP(C8,'Special Districts'!D:AB,4,FALSE),"-")</f>
        <v>-</v>
      </c>
      <c r="E8" s="99" t="str">
        <f>IF(VLOOKUP(C8,'Special Districts'!D:AB,10,FALSE)&lt;3.0001,VLOOKUP(C8,'Special Districts'!D:AB,10,FALSE),"-")</f>
        <v>-</v>
      </c>
      <c r="F8" s="99" t="str">
        <f>IF(VLOOKUP(C8,'Special Districts'!D:AB,14,FALSE)&lt;2.0001,VLOOKUP(C8,'Special Districts'!D:AB,14,FALSE),"-")</f>
        <v>-</v>
      </c>
      <c r="G8" s="99" t="str">
        <f>VLOOKUP(C8,'Special Districts'!D:AB,6,FALSE)</f>
        <v>-</v>
      </c>
      <c r="H8" s="99" t="str">
        <f>VLOOKUP(C8,'Special Districts'!D:AB,11,FALSE)</f>
        <v>-</v>
      </c>
      <c r="I8" s="99" t="str">
        <f>VLOOKUP(C8,'Special Districts'!D:AB,15,FALSE)</f>
        <v>-</v>
      </c>
      <c r="J8" s="88" t="str">
        <f>VLOOKUP(C8,'Special Districts'!D:AB,20,FALSE)</f>
        <v>-</v>
      </c>
      <c r="K8" s="88" t="str">
        <f>VLOOKUP(C8,'Special Districts'!D:AB,21,FALSE)</f>
        <v>-</v>
      </c>
      <c r="L8" s="88" t="str">
        <f>VLOOKUP(C8,'Special Districts'!D:AB,22,FALSE)</f>
        <v>-</v>
      </c>
      <c r="M8" s="88" t="str">
        <f>VLOOKUP(C8,'Special Districts'!D:AB,24,FALSE)</f>
        <v>-</v>
      </c>
    </row>
    <row r="9" spans="1:13" s="5" customFormat="1" ht="38.25" x14ac:dyDescent="0.2">
      <c r="A9" s="120" t="s">
        <v>364</v>
      </c>
      <c r="B9" s="120" t="s">
        <v>108</v>
      </c>
      <c r="C9" s="121" t="s">
        <v>366</v>
      </c>
      <c r="D9" s="99" t="str">
        <f>IF(VLOOKUP(C9,'Special Districts'!D:AB,4,FALSE)&lt;1.0001,VLOOKUP(C9,'Special Districts'!D:AB,4,FALSE),"-")</f>
        <v>-</v>
      </c>
      <c r="E9" s="99">
        <f>IF(VLOOKUP(C9,'Special Districts'!D:AB,10,FALSE)&lt;3.0001,VLOOKUP(C9,'Special Districts'!D:AB,10,FALSE),"-")</f>
        <v>2</v>
      </c>
      <c r="F9" s="99">
        <f>IF(VLOOKUP(C9,'Special Districts'!D:AB,14,FALSE)&lt;2.0001,VLOOKUP(C9,'Special Districts'!D:AB,14,FALSE),"-")</f>
        <v>2</v>
      </c>
      <c r="G9" s="99" t="str">
        <f>VLOOKUP(C9,'Special Districts'!D:AB,6,FALSE)</f>
        <v>-</v>
      </c>
      <c r="H9" s="99" t="str">
        <f>VLOOKUP(C9,'Special Districts'!D:AB,11,FALSE)</f>
        <v>-</v>
      </c>
      <c r="I9" s="99" t="str">
        <f>VLOOKUP(C9,'Special Districts'!D:AB,15,FALSE)</f>
        <v>-</v>
      </c>
      <c r="J9" s="88" t="str">
        <f>VLOOKUP(C9,'Special Districts'!D:AB,20,FALSE)</f>
        <v>-</v>
      </c>
      <c r="K9" s="88" t="str">
        <f>VLOOKUP(C9,'Special Districts'!D:AB,21,FALSE)</f>
        <v>-</v>
      </c>
      <c r="L9" s="88" t="str">
        <f>VLOOKUP(C9,'Special Districts'!D:AB,22,FALSE)</f>
        <v>-</v>
      </c>
      <c r="M9" s="88" t="str">
        <f>VLOOKUP(C9,'Special Districts'!D:AB,24,FALSE)</f>
        <v>-</v>
      </c>
    </row>
    <row r="10" spans="1:13" s="25" customFormat="1" ht="25.5" x14ac:dyDescent="0.2">
      <c r="A10" s="120" t="s">
        <v>4</v>
      </c>
      <c r="B10" s="120" t="s">
        <v>108</v>
      </c>
      <c r="C10" s="121" t="s">
        <v>367</v>
      </c>
      <c r="D10" s="99">
        <f>IF(VLOOKUP(C10,'Special Districts'!D:AB,4,FALSE)&lt;1.0001,VLOOKUP(C10,'Special Districts'!D:AB,4,FALSE),"-")</f>
        <v>0</v>
      </c>
      <c r="E10" s="99">
        <f>IF(VLOOKUP(C10,'Special Districts'!D:AB,10,FALSE)&lt;3.0001,VLOOKUP(C10,'Special Districts'!D:AB,10,FALSE),"-")</f>
        <v>2</v>
      </c>
      <c r="F10" s="99" t="str">
        <f>IF(VLOOKUP(C10,'Special Districts'!D:AB,14,FALSE)&lt;2.0001,VLOOKUP(C10,'Special Districts'!D:AB,14,FALSE),"-")</f>
        <v>-</v>
      </c>
      <c r="G10" s="99" t="str">
        <f>VLOOKUP(C10,'Special Districts'!D:AB,6,FALSE)</f>
        <v>-</v>
      </c>
      <c r="H10" s="99" t="str">
        <f>VLOOKUP(C10,'Special Districts'!D:AB,11,FALSE)</f>
        <v>-</v>
      </c>
      <c r="I10" s="99" t="str">
        <f>VLOOKUP(C10,'Special Districts'!D:AB,15,FALSE)</f>
        <v>-</v>
      </c>
      <c r="J10" s="88" t="str">
        <f>VLOOKUP(C10,'Special Districts'!D:AB,20,FALSE)</f>
        <v>-</v>
      </c>
      <c r="K10" s="88" t="str">
        <f>VLOOKUP(C10,'Special Districts'!D:AB,21,FALSE)</f>
        <v>-</v>
      </c>
      <c r="L10" s="88" t="str">
        <f>VLOOKUP(C10,'Special Districts'!D:AB,22,FALSE)</f>
        <v>-</v>
      </c>
      <c r="M10" s="88" t="str">
        <f>VLOOKUP(C10,'Special Districts'!D:AB,24,FALSE)</f>
        <v>-</v>
      </c>
    </row>
    <row r="11" spans="1:13" s="25" customFormat="1" ht="51" x14ac:dyDescent="0.2">
      <c r="A11" s="120" t="s">
        <v>24</v>
      </c>
      <c r="B11" s="120" t="s">
        <v>60</v>
      </c>
      <c r="C11" s="121" t="s">
        <v>370</v>
      </c>
      <c r="D11" s="99">
        <f>IF(VLOOKUP(C11,'Special Districts'!D:AB,4,FALSE)&lt;1.0001,VLOOKUP(C11,'Special Districts'!D:AB,4,FALSE),"-")</f>
        <v>0</v>
      </c>
      <c r="E11" s="99" t="str">
        <f>IF(VLOOKUP(C11,'Special Districts'!D:AB,10,FALSE)&lt;3.0001,VLOOKUP(C11,'Special Districts'!D:AB,10,FALSE),"-")</f>
        <v>-</v>
      </c>
      <c r="F11" s="99" t="str">
        <f>IF(VLOOKUP(C11,'Special Districts'!D:AB,14,FALSE)&lt;2.0001,VLOOKUP(C11,'Special Districts'!D:AB,14,FALSE),"-")</f>
        <v>-</v>
      </c>
      <c r="G11" s="99" t="str">
        <f>VLOOKUP(C11,'Special Districts'!D:AB,6,FALSE)</f>
        <v>-</v>
      </c>
      <c r="H11" s="99" t="str">
        <f>VLOOKUP(C11,'Special Districts'!D:AB,11,FALSE)</f>
        <v>-</v>
      </c>
      <c r="I11" s="99" t="str">
        <f>VLOOKUP(C11,'Special Districts'!D:AB,15,FALSE)</f>
        <v>-</v>
      </c>
      <c r="J11" s="88" t="str">
        <f>VLOOKUP(C11,'Special Districts'!D:AB,20,FALSE)</f>
        <v>-</v>
      </c>
      <c r="K11" s="88" t="str">
        <f>VLOOKUP(C11,'Special Districts'!D:AB,21,FALSE)</f>
        <v>-</v>
      </c>
      <c r="L11" s="88" t="str">
        <f>VLOOKUP(C11,'Special Districts'!D:AB,22,FALSE)</f>
        <v>-</v>
      </c>
      <c r="M11" s="88" t="str">
        <f>VLOOKUP(C11,'Special Districts'!D:AB,24,FALSE)</f>
        <v>-</v>
      </c>
    </row>
    <row r="12" spans="1:13" s="25" customFormat="1" ht="38.25" x14ac:dyDescent="0.2">
      <c r="A12" s="120" t="s">
        <v>24</v>
      </c>
      <c r="B12" s="120" t="s">
        <v>73</v>
      </c>
      <c r="C12" s="121" t="s">
        <v>440</v>
      </c>
      <c r="D12" s="99" t="str">
        <f>IF(VLOOKUP(C12,'Special Districts'!D:AB,4,FALSE)&lt;1.0001,VLOOKUP(C12,'Special Districts'!D:AB,4,FALSE),"-")</f>
        <v>-</v>
      </c>
      <c r="E12" s="99">
        <f>IF(VLOOKUP(C12,'Special Districts'!D:AB,10,FALSE)&lt;3.0001,VLOOKUP(C12,'Special Districts'!D:AB,10,FALSE),"-")</f>
        <v>2.5</v>
      </c>
      <c r="F12" s="99" t="str">
        <f>IF(VLOOKUP(C12,'Special Districts'!D:AB,14,FALSE)&lt;2.0001,VLOOKUP(C12,'Special Districts'!D:AB,14,FALSE),"-")</f>
        <v>-</v>
      </c>
      <c r="G12" s="99" t="str">
        <f>VLOOKUP(C12,'Special Districts'!D:AB,6,FALSE)</f>
        <v>-</v>
      </c>
      <c r="H12" s="99" t="str">
        <f>VLOOKUP(C12,'Special Districts'!D:AB,11,FALSE)</f>
        <v>-</v>
      </c>
      <c r="I12" s="99" t="str">
        <f>VLOOKUP(C12,'Special Districts'!D:AB,15,FALSE)</f>
        <v>-</v>
      </c>
      <c r="J12" s="88" t="str">
        <f>VLOOKUP(C12,'Special Districts'!D:AB,20,FALSE)</f>
        <v>-</v>
      </c>
      <c r="K12" s="88" t="str">
        <f>VLOOKUP(C12,'Special Districts'!D:AB,21,FALSE)</f>
        <v>-</v>
      </c>
      <c r="L12" s="88" t="str">
        <f>VLOOKUP(C12,'Special Districts'!D:AB,22,FALSE)</f>
        <v>-</v>
      </c>
      <c r="M12" s="88" t="str">
        <f>VLOOKUP(C12,'Special Districts'!D:AB,24,FALSE)</f>
        <v>-</v>
      </c>
    </row>
    <row r="13" spans="1:13" s="25" customFormat="1" ht="25.5" x14ac:dyDescent="0.2">
      <c r="A13" s="120" t="s">
        <v>48</v>
      </c>
      <c r="B13" s="120" t="s">
        <v>90</v>
      </c>
      <c r="C13" s="119" t="s">
        <v>396</v>
      </c>
      <c r="D13" s="99" t="str">
        <f>IF(VLOOKUP(C13,'Special Districts'!D:AB,4,FALSE)&lt;1.0001,VLOOKUP(C13,'Special Districts'!D:AB,4,FALSE),"-")</f>
        <v>-</v>
      </c>
      <c r="E13" s="99">
        <f>IF(VLOOKUP(C13,'Special Districts'!D:AB,10,FALSE)&lt;3.0001,VLOOKUP(C13,'Special Districts'!D:AB,10,FALSE),"-")</f>
        <v>2.9</v>
      </c>
      <c r="F13" s="99" t="str">
        <f>IF(VLOOKUP(C13,'Special Districts'!D:AB,14,FALSE)&lt;2.0001,VLOOKUP(C13,'Special Districts'!D:AB,14,FALSE),"-")</f>
        <v>-</v>
      </c>
      <c r="G13" s="99" t="str">
        <f>VLOOKUP(C13,'Special Districts'!D:AB,6,FALSE)</f>
        <v xml:space="preserve"> -</v>
      </c>
      <c r="H13" s="99" t="str">
        <f>VLOOKUP(C13,'Special Districts'!D:AB,11,FALSE)</f>
        <v xml:space="preserve"> -</v>
      </c>
      <c r="I13" s="99" t="str">
        <f>VLOOKUP(C13,'Special Districts'!D:AB,15,FALSE)</f>
        <v xml:space="preserve"> -</v>
      </c>
      <c r="J13" s="88" t="str">
        <f>VLOOKUP(C13,'Special Districts'!D:AB,20,FALSE)</f>
        <v>Yes</v>
      </c>
      <c r="K13" s="88" t="str">
        <f>VLOOKUP(C13,'Special Districts'!D:AB,21,FALSE)</f>
        <v>-</v>
      </c>
      <c r="L13" s="88" t="str">
        <f>VLOOKUP(C13,'Special Districts'!D:AB,22,FALSE)</f>
        <v>-</v>
      </c>
      <c r="M13" s="88" t="str">
        <f>VLOOKUP(C13,'Special Districts'!D:AB,24,FALSE)</f>
        <v>-</v>
      </c>
    </row>
    <row r="14" spans="1:13" s="25" customFormat="1" ht="25.5" x14ac:dyDescent="0.2">
      <c r="A14" s="120" t="s">
        <v>9</v>
      </c>
      <c r="B14" s="120" t="s">
        <v>98</v>
      </c>
      <c r="C14" s="121" t="s">
        <v>371</v>
      </c>
      <c r="D14" s="99">
        <f>IF(VLOOKUP(C14,'Special Districts'!D:AB,4,FALSE)&lt;1.0001,VLOOKUP(C14,'Special Districts'!D:AB,4,FALSE),"-")</f>
        <v>0</v>
      </c>
      <c r="E14" s="99" t="str">
        <f>IF(VLOOKUP(C14,'Special Districts'!D:AB,10,FALSE)&lt;3.0001,VLOOKUP(C14,'Special Districts'!D:AB,10,FALSE),"-")</f>
        <v>-</v>
      </c>
      <c r="F14" s="99">
        <f>IF(VLOOKUP(C14,'Special Districts'!D:AB,14,FALSE)&lt;2.0001,VLOOKUP(C14,'Special Districts'!D:AB,14,FALSE),"-")</f>
        <v>0</v>
      </c>
      <c r="G14" s="99" t="str">
        <f>VLOOKUP(C14,'Special Districts'!D:AB,6,FALSE)</f>
        <v xml:space="preserve"> -</v>
      </c>
      <c r="H14" s="99" t="str">
        <f>VLOOKUP(C14,'Special Districts'!D:AB,11,FALSE)</f>
        <v xml:space="preserve"> -</v>
      </c>
      <c r="I14" s="99" t="str">
        <f>VLOOKUP(C14,'Special Districts'!D:AB,15,FALSE)</f>
        <v xml:space="preserve"> -</v>
      </c>
      <c r="J14" s="88" t="str">
        <f>VLOOKUP(C14,'Special Districts'!D:AB,20,FALSE)</f>
        <v>-</v>
      </c>
      <c r="K14" s="88" t="str">
        <f>VLOOKUP(C14,'Special Districts'!D:AB,21,FALSE)</f>
        <v>Yes</v>
      </c>
      <c r="L14" s="88" t="str">
        <f>VLOOKUP(C14,'Special Districts'!D:AB,22,FALSE)</f>
        <v>-</v>
      </c>
      <c r="M14" s="88" t="str">
        <f>VLOOKUP(C14,'Special Districts'!D:AB,24,FALSE)</f>
        <v>-</v>
      </c>
    </row>
    <row r="15" spans="1:13" s="25" customFormat="1" ht="25.5" x14ac:dyDescent="0.2">
      <c r="A15" s="120" t="s">
        <v>45</v>
      </c>
      <c r="B15" s="120" t="s">
        <v>87</v>
      </c>
      <c r="C15" s="121" t="s">
        <v>372</v>
      </c>
      <c r="D15" s="99" t="str">
        <f>IF(VLOOKUP(C15,'Special Districts'!D:AB,4,FALSE)&lt;1.0001,VLOOKUP(C15,'Special Districts'!D:AB,4,FALSE),"-")</f>
        <v>-</v>
      </c>
      <c r="E15" s="99" t="str">
        <f>IF(VLOOKUP(C15,'Special Districts'!D:AB,10,FALSE)&lt;3.0001,VLOOKUP(C15,'Special Districts'!D:AB,10,FALSE),"-")</f>
        <v>-</v>
      </c>
      <c r="F15" s="99" t="str">
        <f>IF(VLOOKUP(C15,'Special Districts'!D:AB,14,FALSE)&lt;2.0001,VLOOKUP(C15,'Special Districts'!D:AB,14,FALSE),"-")</f>
        <v>-</v>
      </c>
      <c r="G15" s="99" t="str">
        <f>VLOOKUP(C15,'Special Districts'!D:AB,6,FALSE)</f>
        <v>-</v>
      </c>
      <c r="H15" s="99" t="str">
        <f>VLOOKUP(C15,'Special Districts'!D:AB,11,FALSE)</f>
        <v>-</v>
      </c>
      <c r="I15" s="99" t="str">
        <f>VLOOKUP(C15,'Special Districts'!D:AB,15,FALSE)</f>
        <v>-</v>
      </c>
      <c r="J15" s="88" t="str">
        <f>VLOOKUP(C15,'Special Districts'!D:AB,20,FALSE)</f>
        <v>-</v>
      </c>
      <c r="K15" s="88" t="str">
        <f>VLOOKUP(C15,'Special Districts'!D:AB,21,FALSE)</f>
        <v>-</v>
      </c>
      <c r="L15" s="88" t="str">
        <f>VLOOKUP(C15,'Special Districts'!D:AB,22,FALSE)</f>
        <v>-</v>
      </c>
      <c r="M15" s="88" t="str">
        <f>VLOOKUP(C15,'Special Districts'!D:AB,24,FALSE)</f>
        <v>-</v>
      </c>
    </row>
    <row r="16" spans="1:13" s="25" customFormat="1" ht="38.25" x14ac:dyDescent="0.2">
      <c r="A16" s="120" t="s">
        <v>4</v>
      </c>
      <c r="B16" s="120" t="s">
        <v>57</v>
      </c>
      <c r="C16" s="119" t="s">
        <v>405</v>
      </c>
      <c r="D16" s="99" t="str">
        <f>IF(VLOOKUP(C16,'Special Districts'!D:AB,4,FALSE)&lt;1.0001,VLOOKUP(C16,'Special Districts'!D:AB,4,FALSE),"-")</f>
        <v>-</v>
      </c>
      <c r="E16" s="99" t="str">
        <f>IF(VLOOKUP(C16,'Special Districts'!D:AB,10,FALSE)&lt;3.0001,VLOOKUP(C16,'Special Districts'!D:AB,10,FALSE),"-")</f>
        <v>-</v>
      </c>
      <c r="F16" s="99" t="str">
        <f>IF(VLOOKUP(C16,'Special Districts'!D:AB,14,FALSE)&lt;2.0001,VLOOKUP(C16,'Special Districts'!D:AB,14,FALSE),"-")</f>
        <v>-</v>
      </c>
      <c r="G16" s="99" t="str">
        <f>VLOOKUP(C16,'Special Districts'!D:AB,6,FALSE)</f>
        <v xml:space="preserve"> -</v>
      </c>
      <c r="H16" s="99" t="str">
        <f>VLOOKUP(C16,'Special Districts'!D:AB,11,FALSE)</f>
        <v xml:space="preserve"> -</v>
      </c>
      <c r="I16" s="99" t="str">
        <f>VLOOKUP(C16,'Special Districts'!D:AB,15,FALSE)</f>
        <v xml:space="preserve"> -</v>
      </c>
      <c r="J16" s="88" t="str">
        <f>VLOOKUP(C16,'Special Districts'!D:AB,20,FALSE)</f>
        <v>-</v>
      </c>
      <c r="K16" s="88" t="str">
        <f>VLOOKUP(C16,'Special Districts'!D:AB,21,FALSE)</f>
        <v>-</v>
      </c>
      <c r="L16" s="88" t="str">
        <f>VLOOKUP(C16,'Special Districts'!D:AB,22,FALSE)</f>
        <v>-</v>
      </c>
      <c r="M16" s="88" t="str">
        <f>VLOOKUP(C16,'Special Districts'!D:AB,24,FALSE)</f>
        <v>-</v>
      </c>
    </row>
    <row r="17" spans="1:13" s="25" customFormat="1" x14ac:dyDescent="0.2">
      <c r="A17" s="132" t="s">
        <v>4</v>
      </c>
      <c r="B17" s="132" t="s">
        <v>57</v>
      </c>
      <c r="C17" s="121" t="s">
        <v>404</v>
      </c>
      <c r="D17" s="99" t="str">
        <f>IF(VLOOKUP(C17,'Special Districts'!D:AB,4,FALSE)&lt;1.0001,VLOOKUP(C17,'Special Districts'!D:AB,4,FALSE),"-")</f>
        <v>-</v>
      </c>
      <c r="E17" s="99" t="str">
        <f>IF(VLOOKUP(C17,'Special Districts'!D:AB,10,FALSE)&lt;3.0001,VLOOKUP(C17,'Special Districts'!D:AB,10,FALSE),"-")</f>
        <v>-</v>
      </c>
      <c r="F17" s="99" t="str">
        <f>IF(VLOOKUP(C17,'Special Districts'!D:AB,14,FALSE)&lt;2.0001,VLOOKUP(C17,'Special Districts'!D:AB,14,FALSE),"-")</f>
        <v>-</v>
      </c>
      <c r="G17" s="99" t="str">
        <f>VLOOKUP(C17,'Special Districts'!D:AB,6,FALSE)</f>
        <v>-</v>
      </c>
      <c r="H17" s="99" t="str">
        <f>VLOOKUP(C17,'Special Districts'!D:AB,11,FALSE)</f>
        <v>-</v>
      </c>
      <c r="I17" s="99" t="str">
        <f>VLOOKUP(C17,'Special Districts'!D:AB,15,FALSE)</f>
        <v>-</v>
      </c>
      <c r="J17" s="88" t="str">
        <f>VLOOKUP(C17,'Special Districts'!D:AB,20,FALSE)</f>
        <v>-</v>
      </c>
      <c r="K17" s="88" t="str">
        <f>VLOOKUP(C17,'Special Districts'!D:AB,21,FALSE)</f>
        <v>-</v>
      </c>
      <c r="L17" s="88" t="str">
        <f>VLOOKUP(C17,'Special Districts'!D:AB,22,FALSE)</f>
        <v>-</v>
      </c>
      <c r="M17" s="88" t="str">
        <f>VLOOKUP(C17,'Special Districts'!D:AB,24,FALSE)</f>
        <v>-</v>
      </c>
    </row>
    <row r="18" spans="1:13" s="25" customFormat="1" ht="25.5" x14ac:dyDescent="0.2">
      <c r="A18" s="120" t="s">
        <v>24</v>
      </c>
      <c r="B18" s="120" t="s">
        <v>64</v>
      </c>
      <c r="C18" s="121" t="s">
        <v>439</v>
      </c>
      <c r="D18" s="99" t="str">
        <f>IF(VLOOKUP(C18,'Special Districts'!D:AB,4,FALSE)&lt;1.0001,VLOOKUP(C18,'Special Districts'!D:AB,4,FALSE),"-")</f>
        <v>-</v>
      </c>
      <c r="E18" s="99">
        <f>IF(VLOOKUP(C18,'Special Districts'!D:AB,10,FALSE)&lt;3.0001,VLOOKUP(C18,'Special Districts'!D:AB,10,FALSE),"-")</f>
        <v>0</v>
      </c>
      <c r="F18" s="99" t="str">
        <f>IF(VLOOKUP(C18,'Special Districts'!D:AB,14,FALSE)&lt;2.0001,VLOOKUP(C18,'Special Districts'!D:AB,14,FALSE),"-")</f>
        <v>-</v>
      </c>
      <c r="G18" s="99" t="str">
        <f>VLOOKUP(C18,'Special Districts'!D:AB,6,FALSE)</f>
        <v>-</v>
      </c>
      <c r="H18" s="99" t="str">
        <f>VLOOKUP(C18,'Special Districts'!D:AB,11,FALSE)</f>
        <v>-</v>
      </c>
      <c r="I18" s="99" t="str">
        <f>VLOOKUP(C18,'Special Districts'!D:AB,15,FALSE)</f>
        <v>-</v>
      </c>
      <c r="J18" s="88" t="str">
        <f>VLOOKUP(C18,'Special Districts'!D:AB,20,FALSE)</f>
        <v>-</v>
      </c>
      <c r="K18" s="88" t="str">
        <f>VLOOKUP(C18,'Special Districts'!D:AB,21,FALSE)</f>
        <v>-</v>
      </c>
      <c r="L18" s="88" t="str">
        <f>VLOOKUP(C18,'Special Districts'!D:AB,22,FALSE)</f>
        <v>-</v>
      </c>
      <c r="M18" s="88" t="str">
        <f>VLOOKUP(C18,'Special Districts'!D:AB,24,FALSE)</f>
        <v>-</v>
      </c>
    </row>
    <row r="19" spans="1:13" s="25" customFormat="1" ht="25.5" x14ac:dyDescent="0.2">
      <c r="A19" s="120" t="s">
        <v>27</v>
      </c>
      <c r="B19" s="120" t="s">
        <v>374</v>
      </c>
      <c r="C19" s="121" t="s">
        <v>437</v>
      </c>
      <c r="D19" s="99" t="str">
        <f>IF(VLOOKUP(C19,'Special Districts'!D:AB,4,FALSE)&lt;1.0001,VLOOKUP(C19,'Special Districts'!D:AB,4,FALSE),"-")</f>
        <v>-</v>
      </c>
      <c r="E19" s="99">
        <f>IF(VLOOKUP(C19,'Special Districts'!D:AB,10,FALSE)&lt;3.0001,VLOOKUP(C19,'Special Districts'!D:AB,10,FALSE),"-")</f>
        <v>0</v>
      </c>
      <c r="F19" s="99">
        <f>IF(VLOOKUP(C19,'Special Districts'!D:AB,14,FALSE)&lt;2.0001,VLOOKUP(C19,'Special Districts'!D:AB,14,FALSE),"-")</f>
        <v>0</v>
      </c>
      <c r="G19" s="99" t="str">
        <f>VLOOKUP(C19,'Special Districts'!D:AB,6,FALSE)</f>
        <v>-</v>
      </c>
      <c r="H19" s="99">
        <f>VLOOKUP(C19,'Special Districts'!D:AB,11,FALSE)</f>
        <v>0</v>
      </c>
      <c r="I19" s="99">
        <f>VLOOKUP(C19,'Special Districts'!D:AB,15,FALSE)</f>
        <v>0</v>
      </c>
      <c r="J19" s="88" t="str">
        <f>VLOOKUP(C19,'Special Districts'!D:AB,20,FALSE)</f>
        <v>-</v>
      </c>
      <c r="K19" s="88" t="str">
        <f>VLOOKUP(C19,'Special Districts'!D:AB,21,FALSE)</f>
        <v>-</v>
      </c>
      <c r="L19" s="88" t="str">
        <f>VLOOKUP(C19,'Special Districts'!D:AB,22,FALSE)</f>
        <v>-</v>
      </c>
      <c r="M19" s="88" t="str">
        <f>VLOOKUP(C19,'Special Districts'!D:AB,24,FALSE)</f>
        <v>-</v>
      </c>
    </row>
    <row r="20" spans="1:13" s="25" customFormat="1" ht="25.5" x14ac:dyDescent="0.2">
      <c r="A20" s="120" t="s">
        <v>11</v>
      </c>
      <c r="B20" s="120" t="s">
        <v>81</v>
      </c>
      <c r="C20" s="121" t="s">
        <v>387</v>
      </c>
      <c r="D20" s="99" t="str">
        <f>IF(VLOOKUP(C20,'Special Districts'!D:AB,4,FALSE)&lt;1.0001,VLOOKUP(C20,'Special Districts'!D:AB,4,FALSE),"-")</f>
        <v>-</v>
      </c>
      <c r="E20" s="99" t="str">
        <f>IF(VLOOKUP(C20,'Special Districts'!D:AB,10,FALSE)&lt;3.0001,VLOOKUP(C20,'Special Districts'!D:AB,10,FALSE),"-")</f>
        <v>-</v>
      </c>
      <c r="F20" s="99" t="str">
        <f>IF(VLOOKUP(C20,'Special Districts'!D:AB,14,FALSE)&lt;2.0001,VLOOKUP(C20,'Special Districts'!D:AB,14,FALSE),"-")</f>
        <v>-</v>
      </c>
      <c r="G20" s="99" t="str">
        <f>VLOOKUP(C20,'Special Districts'!D:AB,6,FALSE)</f>
        <v xml:space="preserve"> -</v>
      </c>
      <c r="H20" s="99" t="str">
        <f>VLOOKUP(C20,'Special Districts'!D:AB,11,FALSE)</f>
        <v xml:space="preserve"> -</v>
      </c>
      <c r="I20" s="99" t="str">
        <f>VLOOKUP(C20,'Special Districts'!D:AB,15,FALSE)</f>
        <v xml:space="preserve"> -</v>
      </c>
      <c r="J20" s="88" t="str">
        <f>VLOOKUP(C20,'Special Districts'!D:AB,20,FALSE)</f>
        <v>-</v>
      </c>
      <c r="K20" s="88" t="str">
        <f>VLOOKUP(C20,'Special Districts'!D:AB,21,FALSE)</f>
        <v>-</v>
      </c>
      <c r="L20" s="88" t="str">
        <f>VLOOKUP(C20,'Special Districts'!D:AB,22,FALSE)</f>
        <v>-</v>
      </c>
      <c r="M20" s="88" t="str">
        <f>VLOOKUP(C20,'Special Districts'!D:AB,24,FALSE)</f>
        <v>Yes</v>
      </c>
    </row>
    <row r="21" spans="1:13" s="25" customFormat="1" x14ac:dyDescent="0.2">
      <c r="A21" s="120" t="s">
        <v>4</v>
      </c>
      <c r="B21" s="120" t="s">
        <v>110</v>
      </c>
      <c r="C21" s="119" t="s">
        <v>355</v>
      </c>
      <c r="D21" s="99">
        <f>IF(VLOOKUP(C21,'Special Districts'!D:AB,4,FALSE)&lt;1.0001,VLOOKUP(C21,'Special Districts'!D:AB,4,FALSE),"-")</f>
        <v>0</v>
      </c>
      <c r="E21" s="99">
        <f>IF(VLOOKUP(C21,'Special Districts'!D:AB,10,FALSE)&lt;3.0001,VLOOKUP(C21,'Special Districts'!D:AB,10,FALSE),"-")</f>
        <v>0</v>
      </c>
      <c r="F21" s="99">
        <f>IF(VLOOKUP(C21,'Special Districts'!D:AB,14,FALSE)&lt;2.0001,VLOOKUP(C21,'Special Districts'!D:AB,14,FALSE),"-")</f>
        <v>0</v>
      </c>
      <c r="G21" s="99" t="str">
        <f>VLOOKUP(C21,'Special Districts'!D:AB,6,FALSE)</f>
        <v xml:space="preserve"> -</v>
      </c>
      <c r="H21" s="99" t="str">
        <f>VLOOKUP(C21,'Special Districts'!D:AB,11,FALSE)</f>
        <v>-</v>
      </c>
      <c r="I21" s="99" t="str">
        <f>VLOOKUP(C21,'Special Districts'!D:AB,15,FALSE)</f>
        <v>-</v>
      </c>
      <c r="J21" s="88" t="str">
        <f>VLOOKUP(C21,'Special Districts'!D:AB,20,FALSE)</f>
        <v>-</v>
      </c>
      <c r="K21" s="88" t="str">
        <f>VLOOKUP(C21,'Special Districts'!D:AB,21,FALSE)</f>
        <v>-</v>
      </c>
      <c r="L21" s="88" t="str">
        <f>VLOOKUP(C21,'Special Districts'!D:AB,22,FALSE)</f>
        <v>-</v>
      </c>
      <c r="M21" s="88" t="str">
        <f>VLOOKUP(C21,'Special Districts'!D:AB,24,FALSE)</f>
        <v>-</v>
      </c>
    </row>
    <row r="22" spans="1:13" s="25" customFormat="1" ht="25.5" x14ac:dyDescent="0.2">
      <c r="A22" s="120" t="s">
        <v>48</v>
      </c>
      <c r="B22" s="120" t="s">
        <v>107</v>
      </c>
      <c r="C22" s="119" t="s">
        <v>397</v>
      </c>
      <c r="D22" s="99">
        <f>IF(VLOOKUP(C22,'Special Districts'!D:AB,4,FALSE)&lt;1.0001,VLOOKUP(C22,'Special Districts'!D:AB,4,FALSE),"-")</f>
        <v>0</v>
      </c>
      <c r="E22" s="99">
        <f>IF(VLOOKUP(C22,'Special Districts'!D:AB,10,FALSE)&lt;3.0001,VLOOKUP(C22,'Special Districts'!D:AB,10,FALSE),"-")</f>
        <v>2</v>
      </c>
      <c r="F22" s="99" t="str">
        <f>IF(VLOOKUP(C22,'Special Districts'!D:AB,14,FALSE)&lt;2.0001,VLOOKUP(C22,'Special Districts'!D:AB,14,FALSE),"-")</f>
        <v>-</v>
      </c>
      <c r="G22" s="99" t="str">
        <f>VLOOKUP(C22,'Special Districts'!D:AB,6,FALSE)</f>
        <v xml:space="preserve"> -</v>
      </c>
      <c r="H22" s="99">
        <f>VLOOKUP(C22,'Special Districts'!D:AB,11,FALSE)</f>
        <v>4.16</v>
      </c>
      <c r="I22" s="99">
        <f>VLOOKUP(C22,'Special Districts'!D:AB,15,FALSE)</f>
        <v>4</v>
      </c>
      <c r="J22" s="88" t="str">
        <f>VLOOKUP(C22,'Special Districts'!D:AB,20,FALSE)</f>
        <v>-</v>
      </c>
      <c r="K22" s="88" t="str">
        <f>VLOOKUP(C22,'Special Districts'!D:AB,21,FALSE)</f>
        <v>-</v>
      </c>
      <c r="L22" s="88" t="str">
        <f>VLOOKUP(C22,'Special Districts'!D:AB,22,FALSE)</f>
        <v>-</v>
      </c>
      <c r="M22" s="88" t="str">
        <f>VLOOKUP(C22,'Special Districts'!D:AB,24,FALSE)</f>
        <v>-</v>
      </c>
    </row>
    <row r="23" spans="1:13" s="25" customFormat="1" ht="25.5" x14ac:dyDescent="0.2">
      <c r="A23" s="132" t="s">
        <v>24</v>
      </c>
      <c r="B23" s="132" t="s">
        <v>61</v>
      </c>
      <c r="C23" s="135" t="s">
        <v>416</v>
      </c>
      <c r="D23" s="99" t="str">
        <f>IF(VLOOKUP(C23,'Special Districts'!D:AB,4,FALSE)&lt;1.0001,VLOOKUP(C23,'Special Districts'!D:AB,4,FALSE),"-")</f>
        <v>-</v>
      </c>
      <c r="E23" s="99" t="str">
        <f>IF(VLOOKUP(C23,'Special Districts'!D:AB,10,FALSE)&lt;3.0001,VLOOKUP(C23,'Special Districts'!D:AB,10,FALSE),"-")</f>
        <v>-</v>
      </c>
      <c r="F23" s="99" t="str">
        <f>IF(VLOOKUP(C23,'Special Districts'!D:AB,14,FALSE)&lt;2.0001,VLOOKUP(C23,'Special Districts'!D:AB,14,FALSE),"-")</f>
        <v>-</v>
      </c>
      <c r="G23" s="99" t="str">
        <f>VLOOKUP(C23,'Special Districts'!D:AB,6,FALSE)</f>
        <v xml:space="preserve"> -</v>
      </c>
      <c r="H23" s="99" t="str">
        <f>VLOOKUP(C23,'Special Districts'!D:AB,11,FALSE)</f>
        <v>-</v>
      </c>
      <c r="I23" s="99" t="str">
        <f>VLOOKUP(C23,'Special Districts'!D:AB,15,FALSE)</f>
        <v>-</v>
      </c>
      <c r="J23" s="88" t="str">
        <f>VLOOKUP(C23,'Special Districts'!D:AB,20,FALSE)</f>
        <v>Yes</v>
      </c>
      <c r="K23" s="88" t="str">
        <f>VLOOKUP(C23,'Special Districts'!D:AB,21,FALSE)</f>
        <v>-</v>
      </c>
      <c r="L23" s="88" t="str">
        <f>VLOOKUP(C23,'Special Districts'!D:AB,22,FALSE)</f>
        <v>-</v>
      </c>
      <c r="M23" s="88" t="str">
        <f>VLOOKUP(C23,'Special Districts'!D:AB,24,FALSE)</f>
        <v>-</v>
      </c>
    </row>
    <row r="24" spans="1:13" s="25" customFormat="1" ht="25.5" x14ac:dyDescent="0.2">
      <c r="A24" s="120" t="s">
        <v>24</v>
      </c>
      <c r="B24" s="120" t="s">
        <v>61</v>
      </c>
      <c r="C24" s="121" t="s">
        <v>391</v>
      </c>
      <c r="D24" s="99" t="str">
        <f>IF(VLOOKUP(C24,'Special Districts'!D:AB,4,FALSE)&lt;1.0001,VLOOKUP(C24,'Special Districts'!D:AB,4,FALSE),"-")</f>
        <v>-</v>
      </c>
      <c r="E24" s="99" t="str">
        <f>IF(VLOOKUP(C24,'Special Districts'!D:AB,10,FALSE)&lt;3.0001,VLOOKUP(C24,'Special Districts'!D:AB,10,FALSE),"-")</f>
        <v>-</v>
      </c>
      <c r="F24" s="99" t="str">
        <f>IF(VLOOKUP(C24,'Special Districts'!D:AB,14,FALSE)&lt;2.0001,VLOOKUP(C24,'Special Districts'!D:AB,14,FALSE),"-")</f>
        <v>-</v>
      </c>
      <c r="G24" s="99" t="str">
        <f>VLOOKUP(C24,'Special Districts'!D:AB,6,FALSE)</f>
        <v>1.5-3</v>
      </c>
      <c r="H24" s="99">
        <f>VLOOKUP(C24,'Special Districts'!D:AB,11,FALSE)</f>
        <v>6</v>
      </c>
      <c r="I24" s="99">
        <f>VLOOKUP(C24,'Special Districts'!D:AB,15,FALSE)</f>
        <v>6</v>
      </c>
      <c r="J24" s="88" t="str">
        <f>VLOOKUP(C24,'Special Districts'!D:AB,20,FALSE)</f>
        <v>Yes</v>
      </c>
      <c r="K24" s="88" t="str">
        <f>VLOOKUP(C24,'Special Districts'!D:AB,21,FALSE)</f>
        <v>-</v>
      </c>
      <c r="L24" s="88" t="str">
        <f>VLOOKUP(C24,'Special Districts'!D:AB,22,FALSE)</f>
        <v>-</v>
      </c>
      <c r="M24" s="88" t="str">
        <f>VLOOKUP(C24,'Special Districts'!D:AB,24,FALSE)</f>
        <v>-</v>
      </c>
    </row>
    <row r="25" spans="1:13" s="25" customFormat="1" x14ac:dyDescent="0.2">
      <c r="A25" s="120" t="s">
        <v>24</v>
      </c>
      <c r="B25" s="132" t="s">
        <v>65</v>
      </c>
      <c r="C25" s="121" t="s">
        <v>376</v>
      </c>
      <c r="D25" s="99" t="str">
        <f>IF(VLOOKUP(C25,'Special Districts'!D:AB,4,FALSE)&lt;1.0001,VLOOKUP(C25,'Special Districts'!D:AB,4,FALSE),"-")</f>
        <v>-</v>
      </c>
      <c r="E25" s="99" t="str">
        <f>IF(VLOOKUP(C25,'Special Districts'!D:AB,10,FALSE)&lt;3.0001,VLOOKUP(C25,'Special Districts'!D:AB,10,FALSE),"-")</f>
        <v>-</v>
      </c>
      <c r="F25" s="99" t="str">
        <f>IF(VLOOKUP(C25,'Special Districts'!D:AB,14,FALSE)&lt;2.0001,VLOOKUP(C25,'Special Districts'!D:AB,14,FALSE),"-")</f>
        <v>-</v>
      </c>
      <c r="G25" s="99" t="str">
        <f>VLOOKUP(C25,'Special Districts'!D:AB,6,FALSE)</f>
        <v>-</v>
      </c>
      <c r="H25" s="99" t="str">
        <f>VLOOKUP(C25,'Special Districts'!D:AB,11,FALSE)</f>
        <v>-</v>
      </c>
      <c r="I25" s="99" t="str">
        <f>VLOOKUP(C25,'Special Districts'!D:AB,15,FALSE)</f>
        <v>-</v>
      </c>
      <c r="J25" s="88" t="str">
        <f>VLOOKUP(C25,'Special Districts'!D:AB,20,FALSE)</f>
        <v>-</v>
      </c>
      <c r="K25" s="88" t="str">
        <f>VLOOKUP(C25,'Special Districts'!D:AB,21,FALSE)</f>
        <v>-</v>
      </c>
      <c r="L25" s="88" t="str">
        <f>VLOOKUP(C25,'Special Districts'!D:AB,22,FALSE)</f>
        <v>-</v>
      </c>
      <c r="M25" s="88" t="str">
        <f>VLOOKUP(C25,'Special Districts'!D:AB,24,FALSE)</f>
        <v>-</v>
      </c>
    </row>
    <row r="26" spans="1:13" s="25" customFormat="1" ht="25.5" x14ac:dyDescent="0.2">
      <c r="A26" s="120" t="s">
        <v>48</v>
      </c>
      <c r="B26" s="120" t="s">
        <v>113</v>
      </c>
      <c r="C26" s="119" t="s">
        <v>398</v>
      </c>
      <c r="D26" s="99">
        <f>IF(VLOOKUP(C26,'Special Districts'!D:AB,4,FALSE)&lt;1.0001,VLOOKUP(C26,'Special Districts'!D:AB,4,FALSE),"-")</f>
        <v>1</v>
      </c>
      <c r="E26" s="99">
        <f>IF(VLOOKUP(C26,'Special Districts'!D:AB,10,FALSE)&lt;3.0001,VLOOKUP(C26,'Special Districts'!D:AB,10,FALSE),"-")</f>
        <v>0</v>
      </c>
      <c r="F26" s="99" t="str">
        <f>IF(VLOOKUP(C26,'Special Districts'!D:AB,14,FALSE)&lt;2.0001,VLOOKUP(C26,'Special Districts'!D:AB,14,FALSE),"-")</f>
        <v>-</v>
      </c>
      <c r="G26" s="99" t="str">
        <f>VLOOKUP(C26,'Special Districts'!D:AB,6,FALSE)</f>
        <v xml:space="preserve"> -</v>
      </c>
      <c r="H26" s="99" t="str">
        <f>VLOOKUP(C26,'Special Districts'!D:AB,11,FALSE)</f>
        <v xml:space="preserve"> -</v>
      </c>
      <c r="I26" s="99" t="str">
        <f>VLOOKUP(C26,'Special Districts'!D:AB,15,FALSE)</f>
        <v xml:space="preserve"> -</v>
      </c>
      <c r="J26" s="88" t="str">
        <f>VLOOKUP(C26,'Special Districts'!D:AB,20,FALSE)</f>
        <v>-</v>
      </c>
      <c r="K26" s="88" t="str">
        <f>VLOOKUP(C26,'Special Districts'!D:AB,21,FALSE)</f>
        <v>-</v>
      </c>
      <c r="L26" s="88" t="str">
        <f>VLOOKUP(C26,'Special Districts'!D:AB,22,FALSE)</f>
        <v>-</v>
      </c>
      <c r="M26" s="88" t="str">
        <f>VLOOKUP(C26,'Special Districts'!D:AB,24,FALSE)</f>
        <v>-</v>
      </c>
    </row>
    <row r="27" spans="1:13" s="5" customFormat="1" ht="51" x14ac:dyDescent="0.2">
      <c r="A27" s="132" t="s">
        <v>24</v>
      </c>
      <c r="B27" s="132" t="s">
        <v>24</v>
      </c>
      <c r="C27" s="121" t="s">
        <v>395</v>
      </c>
      <c r="D27" s="99" t="str">
        <f>IF(VLOOKUP(C27,'Special Districts'!D:AB,4,FALSE)&lt;1.0001,VLOOKUP(C27,'Special Districts'!D:AB,4,FALSE),"-")</f>
        <v>-</v>
      </c>
      <c r="E27" s="99">
        <f>IF(VLOOKUP(C27,'Special Districts'!D:AB,10,FALSE)&lt;3.0001,VLOOKUP(C27,'Special Districts'!D:AB,10,FALSE),"-")</f>
        <v>1.9</v>
      </c>
      <c r="F27" s="99" t="str">
        <f>IF(VLOOKUP(C27,'Special Districts'!D:AB,14,FALSE)&lt;2.0001,VLOOKUP(C27,'Special Districts'!D:AB,14,FALSE),"-")</f>
        <v>-</v>
      </c>
      <c r="G27" s="99" t="str">
        <f>VLOOKUP(C27,'Special Districts'!D:AB,6,FALSE)</f>
        <v xml:space="preserve"> -</v>
      </c>
      <c r="H27" s="99" t="str">
        <f>VLOOKUP(C27,'Special Districts'!D:AB,11,FALSE)</f>
        <v xml:space="preserve"> -</v>
      </c>
      <c r="I27" s="99" t="str">
        <f>VLOOKUP(C27,'Special Districts'!D:AB,15,FALSE)</f>
        <v xml:space="preserve"> -</v>
      </c>
      <c r="J27" s="88" t="str">
        <f>VLOOKUP(C27,'Special Districts'!D:AB,20,FALSE)</f>
        <v>-</v>
      </c>
      <c r="K27" s="88" t="str">
        <f>VLOOKUP(C27,'Special Districts'!D:AB,21,FALSE)</f>
        <v>-</v>
      </c>
      <c r="L27" s="88" t="str">
        <f>VLOOKUP(C27,'Special Districts'!D:AB,22,FALSE)</f>
        <v>-</v>
      </c>
      <c r="M27" s="88" t="str">
        <f>VLOOKUP(C27,'Special Districts'!D:AB,24,FALSE)</f>
        <v>Yes</v>
      </c>
    </row>
    <row r="28" spans="1:13" s="25" customFormat="1" x14ac:dyDescent="0.2">
      <c r="A28" s="120" t="s">
        <v>11</v>
      </c>
      <c r="B28" s="120" t="s">
        <v>102</v>
      </c>
      <c r="C28" s="121" t="s">
        <v>377</v>
      </c>
      <c r="D28" s="99" t="str">
        <f>IF(VLOOKUP(C28,'Special Districts'!D:AB,4,FALSE)&lt;1.0001,VLOOKUP(C28,'Special Districts'!D:AB,4,FALSE),"-")</f>
        <v>-</v>
      </c>
      <c r="E28" s="99" t="str">
        <f>IF(VLOOKUP(C28,'Special Districts'!D:AB,10,FALSE)&lt;3.0001,VLOOKUP(C28,'Special Districts'!D:AB,10,FALSE),"-")</f>
        <v>-</v>
      </c>
      <c r="F28" s="99" t="str">
        <f>IF(VLOOKUP(C28,'Special Districts'!D:AB,14,FALSE)&lt;2.0001,VLOOKUP(C28,'Special Districts'!D:AB,14,FALSE),"-")</f>
        <v>-</v>
      </c>
      <c r="G28" s="99" t="str">
        <f>VLOOKUP(C28,'Special Districts'!D:AB,6,FALSE)</f>
        <v xml:space="preserve"> -</v>
      </c>
      <c r="H28" s="99" t="str">
        <f>VLOOKUP(C28,'Special Districts'!D:AB,11,FALSE)</f>
        <v>-</v>
      </c>
      <c r="I28" s="99" t="str">
        <f>VLOOKUP(C28,'Special Districts'!D:AB,15,FALSE)</f>
        <v>-</v>
      </c>
      <c r="J28" s="88" t="str">
        <f>VLOOKUP(C28,'Special Districts'!D:AB,20,FALSE)</f>
        <v>-</v>
      </c>
      <c r="K28" s="88" t="str">
        <f>VLOOKUP(C28,'Special Districts'!D:AB,21,FALSE)</f>
        <v>-</v>
      </c>
      <c r="L28" s="88" t="str">
        <f>VLOOKUP(C28,'Special Districts'!D:AB,22,FALSE)</f>
        <v>-</v>
      </c>
      <c r="M28" s="88" t="str">
        <f>VLOOKUP(C28,'Special Districts'!D:AB,24,FALSE)</f>
        <v>-</v>
      </c>
    </row>
    <row r="29" spans="1:13" s="25" customFormat="1" ht="38.25" x14ac:dyDescent="0.2">
      <c r="A29" s="120" t="s">
        <v>42</v>
      </c>
      <c r="B29" s="120" t="s">
        <v>103</v>
      </c>
      <c r="C29" s="121" t="s">
        <v>380</v>
      </c>
      <c r="D29" s="99" t="str">
        <f>IF(VLOOKUP(C29,'Special Districts'!D:AB,4,FALSE)&lt;1.0001,VLOOKUP(C29,'Special Districts'!D:AB,4,FALSE),"-")</f>
        <v>-</v>
      </c>
      <c r="E29" s="99" t="str">
        <f>IF(VLOOKUP(C29,'Special Districts'!D:AB,10,FALSE)&lt;3.0001,VLOOKUP(C29,'Special Districts'!D:AB,10,FALSE),"-")</f>
        <v>-</v>
      </c>
      <c r="F29" s="99" t="str">
        <f>IF(VLOOKUP(C29,'Special Districts'!D:AB,14,FALSE)&lt;2.0001,VLOOKUP(C29,'Special Districts'!D:AB,14,FALSE),"-")</f>
        <v>-</v>
      </c>
      <c r="G29" s="99" t="str">
        <f>VLOOKUP(C29,'Special Districts'!D:AB,6,FALSE)</f>
        <v>-</v>
      </c>
      <c r="H29" s="99" t="str">
        <f>VLOOKUP(C29,'Special Districts'!D:AB,11,FALSE)</f>
        <v>-</v>
      </c>
      <c r="I29" s="99" t="str">
        <f>VLOOKUP(C29,'Special Districts'!D:AB,15,FALSE)</f>
        <v>-</v>
      </c>
      <c r="J29" s="88" t="str">
        <f>VLOOKUP(C29,'Special Districts'!D:AB,20,FALSE)</f>
        <v>-</v>
      </c>
      <c r="K29" s="88" t="str">
        <f>VLOOKUP(C29,'Special Districts'!D:AB,21,FALSE)</f>
        <v>-</v>
      </c>
      <c r="L29" s="88" t="str">
        <f>VLOOKUP(C29,'Special Districts'!D:AB,22,FALSE)</f>
        <v>-</v>
      </c>
      <c r="M29" s="88" t="str">
        <f>VLOOKUP(C29,'Special Districts'!D:AB,24,FALSE)</f>
        <v>-</v>
      </c>
    </row>
    <row r="30" spans="1:13" s="25" customFormat="1" ht="38.25" x14ac:dyDescent="0.2">
      <c r="A30" s="120" t="s">
        <v>42</v>
      </c>
      <c r="B30" s="120" t="s">
        <v>85</v>
      </c>
      <c r="C30" s="119" t="s">
        <v>402</v>
      </c>
      <c r="D30" s="99" t="str">
        <f>IF(VLOOKUP(C30,'Special Districts'!D:AB,4,FALSE)&lt;1.0001,VLOOKUP(C30,'Special Districts'!D:AB,4,FALSE),"-")</f>
        <v>-</v>
      </c>
      <c r="E30" s="99">
        <f>IF(VLOOKUP(C30,'Special Districts'!D:AB,10,FALSE)&lt;3.0001,VLOOKUP(C30,'Special Districts'!D:AB,10,FALSE),"-")</f>
        <v>2.5</v>
      </c>
      <c r="F30" s="99" t="str">
        <f>IF(VLOOKUP(C30,'Special Districts'!D:AB,14,FALSE)&lt;2.0001,VLOOKUP(C30,'Special Districts'!D:AB,14,FALSE),"-")</f>
        <v>-</v>
      </c>
      <c r="G30" s="99" t="str">
        <f>VLOOKUP(C30,'Special Districts'!D:AB,6,FALSE)</f>
        <v xml:space="preserve"> -</v>
      </c>
      <c r="H30" s="99" t="str">
        <f>VLOOKUP(C30,'Special Districts'!D:AB,11,FALSE)</f>
        <v xml:space="preserve"> -</v>
      </c>
      <c r="I30" s="99" t="str">
        <f>VLOOKUP(C30,'Special Districts'!D:AB,15,FALSE)</f>
        <v xml:space="preserve"> -</v>
      </c>
      <c r="J30" s="88" t="str">
        <f>VLOOKUP(C30,'Special Districts'!D:AB,20,FALSE)</f>
        <v>-</v>
      </c>
      <c r="K30" s="88" t="str">
        <f>VLOOKUP(C30,'Special Districts'!D:AB,21,FALSE)</f>
        <v>-</v>
      </c>
      <c r="L30" s="88" t="str">
        <f>VLOOKUP(C30,'Special Districts'!D:AB,22,FALSE)</f>
        <v>-</v>
      </c>
      <c r="M30" s="88" t="str">
        <f>VLOOKUP(C30,'Special Districts'!D:AB,24,FALSE)</f>
        <v>-</v>
      </c>
    </row>
    <row r="31" spans="1:13" s="25" customFormat="1" x14ac:dyDescent="0.2">
      <c r="A31" s="120" t="s">
        <v>24</v>
      </c>
      <c r="B31" s="120" t="s">
        <v>109</v>
      </c>
      <c r="C31" s="121" t="s">
        <v>382</v>
      </c>
      <c r="D31" s="99" t="str">
        <f>IF(VLOOKUP(C31,'Special Districts'!D:AB,4,FALSE)&lt;1.0001,VLOOKUP(C31,'Special Districts'!D:AB,4,FALSE),"-")</f>
        <v>-</v>
      </c>
      <c r="E31" s="99" t="str">
        <f>IF(VLOOKUP(C31,'Special Districts'!D:AB,10,FALSE)&lt;3.0001,VLOOKUP(C31,'Special Districts'!D:AB,10,FALSE),"-")</f>
        <v>-</v>
      </c>
      <c r="F31" s="99" t="str">
        <f>IF(VLOOKUP(C31,'Special Districts'!D:AB,14,FALSE)&lt;2.0001,VLOOKUP(C31,'Special Districts'!D:AB,14,FALSE),"-")</f>
        <v>-</v>
      </c>
      <c r="G31" s="99" t="str">
        <f>VLOOKUP(C31,'Special Districts'!D:AB,6,FALSE)</f>
        <v>-</v>
      </c>
      <c r="H31" s="99" t="str">
        <f>VLOOKUP(C31,'Special Districts'!D:AB,11,FALSE)</f>
        <v>-</v>
      </c>
      <c r="I31" s="99" t="str">
        <f>VLOOKUP(C31,'Special Districts'!D:AB,15,FALSE)</f>
        <v>-</v>
      </c>
      <c r="J31" s="88" t="str">
        <f>VLOOKUP(C31,'Special Districts'!D:AB,20,FALSE)</f>
        <v>-</v>
      </c>
      <c r="K31" s="88" t="str">
        <f>VLOOKUP(C31,'Special Districts'!D:AB,21,FALSE)</f>
        <v>-</v>
      </c>
      <c r="L31" s="88" t="str">
        <f>VLOOKUP(C31,'Special Districts'!D:AB,22,FALSE)</f>
        <v>-</v>
      </c>
      <c r="M31" s="88" t="str">
        <f>VLOOKUP(C31,'Special Districts'!D:AB,24,FALSE)</f>
        <v>Yes</v>
      </c>
    </row>
    <row r="32" spans="1:13" s="25" customFormat="1" x14ac:dyDescent="0.2">
      <c r="A32" s="120" t="s">
        <v>24</v>
      </c>
      <c r="B32" s="120" t="s">
        <v>109</v>
      </c>
      <c r="C32" s="121" t="s">
        <v>383</v>
      </c>
      <c r="D32" s="99" t="str">
        <f>IF(VLOOKUP(C32,'Special Districts'!D:AB,4,FALSE)&lt;1.0001,VLOOKUP(C32,'Special Districts'!D:AB,4,FALSE),"-")</f>
        <v>-</v>
      </c>
      <c r="E32" s="99" t="str">
        <f>IF(VLOOKUP(C32,'Special Districts'!D:AB,10,FALSE)&lt;3.0001,VLOOKUP(C32,'Special Districts'!D:AB,10,FALSE),"-")</f>
        <v>-</v>
      </c>
      <c r="F32" s="99" t="str">
        <f>IF(VLOOKUP(C32,'Special Districts'!D:AB,14,FALSE)&lt;2.0001,VLOOKUP(C32,'Special Districts'!D:AB,14,FALSE),"-")</f>
        <v>-</v>
      </c>
      <c r="G32" s="99" t="str">
        <f>VLOOKUP(C32,'Special Districts'!D:AB,6,FALSE)</f>
        <v>-</v>
      </c>
      <c r="H32" s="99" t="str">
        <f>VLOOKUP(C32,'Special Districts'!D:AB,11,FALSE)</f>
        <v>-</v>
      </c>
      <c r="I32" s="99" t="str">
        <f>VLOOKUP(C32,'Special Districts'!D:AB,15,FALSE)</f>
        <v>-</v>
      </c>
      <c r="J32" s="88" t="str">
        <f>VLOOKUP(C32,'Special Districts'!D:AB,20,FALSE)</f>
        <v>Yes</v>
      </c>
      <c r="K32" s="88" t="str">
        <f>VLOOKUP(C32,'Special Districts'!D:AB,21,FALSE)</f>
        <v>-</v>
      </c>
      <c r="L32" s="88" t="str">
        <f>VLOOKUP(C32,'Special Districts'!D:AB,22,FALSE)</f>
        <v>-</v>
      </c>
      <c r="M32" s="88" t="str">
        <f>VLOOKUP(C32,'Special Districts'!D:AB,24,FALSE)</f>
        <v>Yes</v>
      </c>
    </row>
    <row r="33" spans="1:13" s="25" customFormat="1" ht="25.5" x14ac:dyDescent="0.2">
      <c r="A33" s="120" t="s">
        <v>48</v>
      </c>
      <c r="B33" s="120" t="s">
        <v>70</v>
      </c>
      <c r="C33" s="121" t="s">
        <v>384</v>
      </c>
      <c r="D33" s="99" t="str">
        <f>IF(VLOOKUP(C33,'Special Districts'!D:AB,4,FALSE)&lt;1.0001,VLOOKUP(C33,'Special Districts'!D:AB,4,FALSE),"-")</f>
        <v>-</v>
      </c>
      <c r="E33" s="99" t="str">
        <f>IF(VLOOKUP(C33,'Special Districts'!D:AB,10,FALSE)&lt;3.0001,VLOOKUP(C33,'Special Districts'!D:AB,10,FALSE),"-")</f>
        <v>-</v>
      </c>
      <c r="F33" s="99" t="str">
        <f>IF(VLOOKUP(C33,'Special Districts'!D:AB,14,FALSE)&lt;2.0001,VLOOKUP(C33,'Special Districts'!D:AB,14,FALSE),"-")</f>
        <v>-</v>
      </c>
      <c r="G33" s="99" t="str">
        <f>VLOOKUP(C33,'Special Districts'!D:AB,6,FALSE)</f>
        <v>-</v>
      </c>
      <c r="H33" s="99" t="str">
        <f>VLOOKUP(C33,'Special Districts'!D:AB,11,FALSE)</f>
        <v>-</v>
      </c>
      <c r="I33" s="99">
        <f>VLOOKUP(C33,'Special Districts'!D:AB,15,FALSE)</f>
        <v>4</v>
      </c>
      <c r="J33" s="88" t="str">
        <f>VLOOKUP(C33,'Special Districts'!D:AB,20,FALSE)</f>
        <v>-</v>
      </c>
      <c r="K33" s="88" t="str">
        <f>VLOOKUP(C33,'Special Districts'!D:AB,21,FALSE)</f>
        <v>-</v>
      </c>
      <c r="L33" s="88" t="str">
        <f>VLOOKUP(C33,'Special Districts'!D:AB,22,FALSE)</f>
        <v>-</v>
      </c>
      <c r="M33" s="88" t="str">
        <f>VLOOKUP(C33,'Special Districts'!D:AB,24,FALSE)</f>
        <v>-</v>
      </c>
    </row>
    <row r="34" spans="1:13" s="25" customFormat="1" ht="25.5" x14ac:dyDescent="0.2">
      <c r="A34" s="120" t="s">
        <v>48</v>
      </c>
      <c r="B34" s="120" t="s">
        <v>70</v>
      </c>
      <c r="C34" s="121" t="s">
        <v>386</v>
      </c>
      <c r="D34" s="99" t="str">
        <f>IF(VLOOKUP(C34,'Special Districts'!D:AB,4,FALSE)&lt;1.0001,VLOOKUP(C34,'Special Districts'!D:AB,4,FALSE),"-")</f>
        <v>-</v>
      </c>
      <c r="E34" s="99" t="str">
        <f>IF(VLOOKUP(C34,'Special Districts'!D:AB,10,FALSE)&lt;3.0001,VLOOKUP(C34,'Special Districts'!D:AB,10,FALSE),"-")</f>
        <v>-</v>
      </c>
      <c r="F34" s="99">
        <f>IF(VLOOKUP(C34,'Special Districts'!D:AB,14,FALSE)&lt;2.0001,VLOOKUP(C34,'Special Districts'!D:AB,14,FALSE),"-")</f>
        <v>2</v>
      </c>
      <c r="G34" s="99" t="str">
        <f>VLOOKUP(C34,'Special Districts'!D:AB,6,FALSE)</f>
        <v>-</v>
      </c>
      <c r="H34" s="99">
        <f>VLOOKUP(C34,'Special Districts'!D:AB,11,FALSE)</f>
        <v>0</v>
      </c>
      <c r="I34" s="99">
        <f>VLOOKUP(C34,'Special Districts'!D:AB,15,FALSE)</f>
        <v>4</v>
      </c>
      <c r="J34" s="88" t="str">
        <f>VLOOKUP(C34,'Special Districts'!D:AB,20,FALSE)</f>
        <v>Yes</v>
      </c>
      <c r="K34" s="88" t="str">
        <f>VLOOKUP(C34,'Special Districts'!D:AB,21,FALSE)</f>
        <v>-</v>
      </c>
      <c r="L34" s="88" t="str">
        <f>VLOOKUP(C34,'Special Districts'!D:AB,22,FALSE)</f>
        <v>Yes</v>
      </c>
      <c r="M34" s="88" t="str">
        <f>VLOOKUP(C34,'Special Districts'!D:AB,24,FALSE)</f>
        <v>-</v>
      </c>
    </row>
    <row r="35" spans="1:13" s="25" customFormat="1" ht="25.5" x14ac:dyDescent="0.2">
      <c r="A35" s="120" t="s">
        <v>9</v>
      </c>
      <c r="B35" s="120" t="s">
        <v>101</v>
      </c>
      <c r="C35" s="122" t="s">
        <v>409</v>
      </c>
      <c r="D35" s="99" t="str">
        <f>IF(VLOOKUP(C35,'Special Districts'!D:AB,4,FALSE)&lt;1.0001,VLOOKUP(C35,'Special Districts'!D:AB,4,FALSE),"-")</f>
        <v>-</v>
      </c>
      <c r="E35" s="99" t="str">
        <f>IF(VLOOKUP(C35,'Special Districts'!D:AB,10,FALSE)&lt;3.0001,VLOOKUP(C35,'Special Districts'!D:AB,10,FALSE),"-")</f>
        <v>-</v>
      </c>
      <c r="F35" s="99" t="str">
        <f>IF(VLOOKUP(C35,'Special Districts'!D:AB,14,FALSE)&lt;2.0001,VLOOKUP(C35,'Special Districts'!D:AB,14,FALSE),"-")</f>
        <v>-</v>
      </c>
      <c r="G35" s="99" t="str">
        <f>VLOOKUP(C35,'Special Districts'!D:AB,6,FALSE)</f>
        <v xml:space="preserve"> -</v>
      </c>
      <c r="H35" s="99" t="str">
        <f>VLOOKUP(C35,'Special Districts'!D:AB,11,FALSE)</f>
        <v xml:space="preserve"> -</v>
      </c>
      <c r="I35" s="99" t="str">
        <f>VLOOKUP(C35,'Special Districts'!D:AB,15,FALSE)</f>
        <v xml:space="preserve"> -</v>
      </c>
      <c r="J35" s="88" t="str">
        <f>VLOOKUP(C35,'Special Districts'!D:AB,20,FALSE)</f>
        <v>-</v>
      </c>
      <c r="K35" s="88" t="str">
        <f>VLOOKUP(C35,'Special Districts'!D:AB,21,FALSE)</f>
        <v>-</v>
      </c>
      <c r="L35" s="88" t="str">
        <f>VLOOKUP(C35,'Special Districts'!D:AB,22,FALSE)</f>
        <v>-</v>
      </c>
      <c r="M35" s="88" t="str">
        <f>VLOOKUP(C35,'Special Districts'!D:AB,24,FALSE)</f>
        <v>-</v>
      </c>
    </row>
    <row r="36" spans="1:13" s="25" customFormat="1" ht="25.5" x14ac:dyDescent="0.2">
      <c r="A36" s="120" t="s">
        <v>9</v>
      </c>
      <c r="B36" s="120" t="s">
        <v>101</v>
      </c>
      <c r="C36" s="122" t="s">
        <v>412</v>
      </c>
      <c r="D36" s="99" t="str">
        <f>IF(VLOOKUP(C36,'Special Districts'!D:AB,4,FALSE)&lt;1.0001,VLOOKUP(C36,'Special Districts'!D:AB,4,FALSE),"-")</f>
        <v>-</v>
      </c>
      <c r="E36" s="99" t="str">
        <f>IF(VLOOKUP(C36,'Special Districts'!D:AB,10,FALSE)&lt;3.0001,VLOOKUP(C36,'Special Districts'!D:AB,10,FALSE),"-")</f>
        <v>-</v>
      </c>
      <c r="F36" s="99" t="str">
        <f>IF(VLOOKUP(C36,'Special Districts'!D:AB,14,FALSE)&lt;2.0001,VLOOKUP(C36,'Special Districts'!D:AB,14,FALSE),"-")</f>
        <v>-</v>
      </c>
      <c r="G36" s="99" t="str">
        <f>VLOOKUP(C36,'Special Districts'!D:AB,6,FALSE)</f>
        <v xml:space="preserve"> -</v>
      </c>
      <c r="H36" s="99" t="str">
        <f>VLOOKUP(C36,'Special Districts'!D:AB,11,FALSE)</f>
        <v xml:space="preserve"> -</v>
      </c>
      <c r="I36" s="99" t="str">
        <f>VLOOKUP(C36,'Special Districts'!D:AB,15,FALSE)</f>
        <v xml:space="preserve"> -</v>
      </c>
      <c r="J36" s="88" t="str">
        <f>VLOOKUP(C36,'Special Districts'!D:AB,20,FALSE)</f>
        <v>-</v>
      </c>
      <c r="K36" s="88" t="str">
        <f>VLOOKUP(C36,'Special Districts'!D:AB,21,FALSE)</f>
        <v>-</v>
      </c>
      <c r="L36" s="88" t="str">
        <f>VLOOKUP(C36,'Special Districts'!D:AB,22,FALSE)</f>
        <v>-</v>
      </c>
      <c r="M36" s="88" t="str">
        <f>VLOOKUP(C36,'Special Districts'!D:AB,24,FALSE)</f>
        <v>-</v>
      </c>
    </row>
    <row r="37" spans="1:13" s="25" customFormat="1" x14ac:dyDescent="0.2">
      <c r="A37" s="43"/>
      <c r="B37" s="21"/>
      <c r="C37" s="47"/>
      <c r="D37" s="33"/>
      <c r="E37" s="33"/>
      <c r="F37" s="33"/>
      <c r="G37" s="34"/>
      <c r="H37" s="34"/>
      <c r="I37" s="35"/>
      <c r="J37" s="16"/>
      <c r="K37" s="34"/>
      <c r="L37" s="34"/>
      <c r="M37" s="34"/>
    </row>
    <row r="38" spans="1:13" s="25" customFormat="1" x14ac:dyDescent="0.2">
      <c r="A38" s="43"/>
      <c r="B38" s="21"/>
      <c r="C38" s="47"/>
      <c r="D38" s="33"/>
      <c r="E38" s="33"/>
      <c r="F38" s="33"/>
      <c r="G38" s="34"/>
      <c r="H38" s="34"/>
      <c r="I38" s="35"/>
      <c r="J38" s="16"/>
      <c r="K38" s="34"/>
      <c r="L38" s="34"/>
      <c r="M38" s="34"/>
    </row>
    <row r="39" spans="1:13" s="25" customFormat="1" x14ac:dyDescent="0.2">
      <c r="A39" s="43"/>
      <c r="B39" s="21"/>
      <c r="C39" s="47"/>
      <c r="D39" s="33"/>
      <c r="E39" s="33"/>
      <c r="F39" s="33"/>
      <c r="G39" s="34"/>
      <c r="H39" s="34"/>
      <c r="I39" s="35"/>
      <c r="J39" s="16"/>
      <c r="K39" s="34"/>
      <c r="L39" s="34"/>
      <c r="M39" s="34"/>
    </row>
    <row r="40" spans="1:13" x14ac:dyDescent="0.2">
      <c r="A40" s="43"/>
      <c r="B40" s="46"/>
      <c r="C40" s="47"/>
      <c r="D40" s="33"/>
      <c r="E40" s="33"/>
      <c r="F40" s="33"/>
      <c r="G40" s="34"/>
      <c r="H40" s="34"/>
      <c r="I40" s="35"/>
      <c r="J40" s="16"/>
      <c r="K40" s="34"/>
      <c r="L40" s="34"/>
      <c r="M40" s="34"/>
    </row>
    <row r="41" spans="1:13" x14ac:dyDescent="0.2">
      <c r="A41" s="43"/>
      <c r="B41" s="46"/>
      <c r="C41" s="47"/>
      <c r="D41" s="33"/>
      <c r="E41" s="33"/>
      <c r="F41" s="33"/>
      <c r="G41" s="34"/>
      <c r="H41" s="34"/>
      <c r="I41" s="35"/>
      <c r="J41" s="16"/>
      <c r="K41" s="34"/>
      <c r="L41" s="34"/>
      <c r="M41" s="34"/>
    </row>
    <row r="42" spans="1:13" x14ac:dyDescent="0.2">
      <c r="A42" s="43"/>
      <c r="C42" s="47"/>
      <c r="D42" s="33"/>
      <c r="E42" s="33"/>
      <c r="F42" s="33"/>
      <c r="G42" s="34"/>
      <c r="H42" s="34"/>
      <c r="I42" s="35"/>
      <c r="J42" s="16"/>
      <c r="K42" s="34"/>
      <c r="L42" s="34"/>
      <c r="M42" s="34"/>
    </row>
  </sheetData>
  <autoFilter ref="A2:C39" xr:uid="{9E8A37A2-6443-4DEE-B50A-53F42CE9769B}">
    <sortState xmlns:xlrd2="http://schemas.microsoft.com/office/spreadsheetml/2017/richdata2" ref="A3:C42">
      <sortCondition ref="B2:B39"/>
    </sortState>
  </autoFilter>
  <mergeCells count="2">
    <mergeCell ref="A1:C1"/>
    <mergeCell ref="D1:I1"/>
  </mergeCells>
  <hyperlinks>
    <hyperlink ref="C6" r:id="rId1" xr:uid="{31F36831-8495-471C-AFC6-2216B953138E}"/>
    <hyperlink ref="C10" r:id="rId2" display="C-W West Berkeley Commercial District Provisions" xr:uid="{BA7611D3-B7EC-40DC-ADA2-1D4EFAED6B62}"/>
    <hyperlink ref="C9" r:id="rId3" location="23E.76.080" display="https://www.codepublishing.com/CA/Berkeley/html/Berkeley23E/Berkeley23E76/Berkeley23E76080.html - 23E.76.080" xr:uid="{CAFFFFF6-3705-4E10-927F-CA97F49B8222}"/>
    <hyperlink ref="C8" r:id="rId4" location="23E.80.080" display="MIXED USE-LIGHT INDUSTRIAL DISTRICT" xr:uid="{F69FD73B-2452-4301-8AD4-B403E791A879}"/>
    <hyperlink ref="C7" r:id="rId5" location="23E.84.080" display="https://www.codepublishing.com/CA/Berkeley/html/Berkeley23E/Berkeley23E84/Berkeley23E84080.html - 23E.84.080" xr:uid="{5684E1FE-BEBB-4AA4-860D-050B7E03D8A1}"/>
    <hyperlink ref="C11" r:id="rId6" xr:uid="{D29F3F0D-C11C-40FD-B4C8-394D3C437EBE}"/>
    <hyperlink ref="C14" r:id="rId7" location="!/Concord18/Concord1845.html" xr:uid="{52DE5892-5085-428B-9F4D-92E9E740F1CB}"/>
    <hyperlink ref="C15" r:id="rId8" location="!/Fairfield25/Fairfield2509.html" xr:uid="{E57672C9-4955-4157-9CB1-BBC77FC54462}"/>
    <hyperlink ref="C19" r:id="rId9" display="Parking Exempt Overlay District" xr:uid="{9DE364E4-7AD3-4ED8-9A2F-19B1029E8BF3}"/>
    <hyperlink ref="C25" r:id="rId10" location="!/SanCarlos18/SanCarlos1820.html" xr:uid="{689126A6-4A4E-4BC1-8377-9308B0458B34}"/>
    <hyperlink ref="C28" r:id="rId11" xr:uid="{E0A02129-AD48-46FC-8E33-182AA5BF84D8}"/>
    <hyperlink ref="C31" r:id="rId12" xr:uid="{665A99F4-F040-4CAC-85D7-C74F4E16C53E}"/>
    <hyperlink ref="C32" r:id="rId13" xr:uid="{99DF3F67-BE68-495A-A62E-6F4F43FB1B3C}"/>
    <hyperlink ref="C34" r:id="rId14" xr:uid="{718454E6-46DB-41A5-AC89-4C4884F197BF}"/>
    <hyperlink ref="C5" r:id="rId15" xr:uid="{BD13B7A1-9A82-40B0-BD59-C89FB2FD92A7}"/>
    <hyperlink ref="C24" r:id="rId16" xr:uid="{49FBB4CC-2968-48CC-B2C4-06FC34EECE17}"/>
    <hyperlink ref="C20" r:id="rId17" xr:uid="{1FD71C7B-70EA-4BFA-9C70-A8280F28EE60}"/>
    <hyperlink ref="C3" r:id="rId18" xr:uid="{9B8471BD-AC52-4067-A659-CBEF60B4E19E}"/>
    <hyperlink ref="C17" r:id="rId19" xr:uid="{E2523014-DAAE-4518-A61D-D778384B5EF5}"/>
    <hyperlink ref="C23" r:id="rId20" xr:uid="{E0A88B47-01F3-469F-9862-1A24FCC4E5FB}"/>
    <hyperlink ref="C27" r:id="rId21" xr:uid="{AA67ACDC-BB07-4CF3-A78A-543375A9EF11}"/>
    <hyperlink ref="C12" r:id="rId22" xr:uid="{90E726E2-FA95-4AFF-A6FC-5CD7F0A0334A}"/>
    <hyperlink ref="C18" r:id="rId23" location="!/Millbrae10/Millbrae1005.html" xr:uid="{7A951ABE-315A-4460-B439-BDF114D8452E}"/>
  </hyperlinks>
  <printOptions horizontalCentered="1"/>
  <pageMargins left="0.3" right="0.3" top="0.75" bottom="0.75" header="0.3" footer="0.3"/>
  <pageSetup scale="42" fitToWidth="0" fitToHeight="4" orientation="portrait" r:id="rId24"/>
  <headerFooter>
    <oddHeader>&amp;RBay Area Parking Standard Survey: Citywide
March 3, 2012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76"/>
  <sheetViews>
    <sheetView zoomScale="85" zoomScaleNormal="85" zoomScaleSheetLayoutView="100" zoomScalePageLayoutView="55" workbookViewId="0">
      <pane xSplit="5" ySplit="2" topLeftCell="F3" activePane="bottomRight" state="frozen"/>
      <selection pane="topRight" activeCell="F1" sqref="F1"/>
      <selection pane="bottomLeft" activeCell="A3" sqref="A3"/>
      <selection pane="bottomRight" activeCell="G12" sqref="G12"/>
    </sheetView>
  </sheetViews>
  <sheetFormatPr defaultColWidth="8.85546875" defaultRowHeight="12.75" x14ac:dyDescent="0.2"/>
  <cols>
    <col min="1" max="1" width="12.7109375" style="17" bestFit="1" customWidth="1"/>
    <col min="2" max="2" width="10.28515625" style="17" bestFit="1" customWidth="1"/>
    <col min="3" max="3" width="15.42578125" style="17" customWidth="1"/>
    <col min="4" max="4" width="20.28515625" style="22" customWidth="1"/>
    <col min="5" max="5" width="10.5703125" style="23" customWidth="1"/>
    <col min="6" max="6" width="10.7109375" style="17" customWidth="1"/>
    <col min="7" max="8" width="9.85546875" style="17" customWidth="1"/>
    <col min="9" max="9" width="9.5703125" style="17" customWidth="1"/>
    <col min="10" max="10" width="7.5703125" style="17" customWidth="1"/>
    <col min="11" max="11" width="18.7109375" style="22" customWidth="1"/>
    <col min="12" max="12" width="10" style="113" bestFit="1" customWidth="1"/>
    <col min="13" max="13" width="9.140625" style="20" bestFit="1" customWidth="1"/>
    <col min="14" max="14" width="10.28515625" style="17" bestFit="1" customWidth="1"/>
    <col min="15" max="15" width="20.7109375" style="22" customWidth="1"/>
    <col min="16" max="16" width="9.5703125" style="20" bestFit="1" customWidth="1"/>
    <col min="17" max="17" width="10.140625" style="20" customWidth="1"/>
    <col min="18" max="18" width="11" style="17" customWidth="1"/>
    <col min="19" max="19" width="16" style="22" customWidth="1"/>
    <col min="20" max="20" width="10.7109375" style="17" customWidth="1"/>
    <col min="21" max="21" width="9" style="17" customWidth="1"/>
    <col min="22" max="22" width="22.7109375" style="22" customWidth="1"/>
    <col min="23" max="28" width="10.28515625" style="17" customWidth="1"/>
    <col min="29" max="16384" width="8.85546875" style="9"/>
  </cols>
  <sheetData>
    <row r="1" spans="1:28" s="27" customFormat="1" ht="12.75" customHeight="1" x14ac:dyDescent="0.25">
      <c r="A1" s="185" t="s">
        <v>114</v>
      </c>
      <c r="B1" s="186"/>
      <c r="C1" s="186"/>
      <c r="D1" s="186"/>
      <c r="E1" s="187"/>
      <c r="F1" s="191" t="s">
        <v>347</v>
      </c>
      <c r="G1" s="192"/>
      <c r="H1" s="192"/>
      <c r="I1" s="192"/>
      <c r="J1" s="192"/>
      <c r="K1" s="171"/>
      <c r="L1" s="193" t="s">
        <v>348</v>
      </c>
      <c r="M1" s="194"/>
      <c r="N1" s="194"/>
      <c r="O1" s="195"/>
      <c r="P1" s="196" t="s">
        <v>349</v>
      </c>
      <c r="Q1" s="197"/>
      <c r="R1" s="197"/>
      <c r="S1" s="198"/>
      <c r="T1" s="199" t="s">
        <v>350</v>
      </c>
      <c r="U1" s="200"/>
      <c r="V1" s="201"/>
      <c r="W1" s="188" t="s">
        <v>351</v>
      </c>
      <c r="X1" s="189"/>
      <c r="Y1" s="189"/>
      <c r="Z1" s="189"/>
      <c r="AA1" s="189"/>
      <c r="AB1" s="190"/>
    </row>
    <row r="2" spans="1:28" s="28" customFormat="1" ht="89.25" customHeight="1" x14ac:dyDescent="0.25">
      <c r="A2" s="84" t="s">
        <v>135</v>
      </c>
      <c r="B2" s="84" t="s">
        <v>0</v>
      </c>
      <c r="C2" s="84" t="s">
        <v>1</v>
      </c>
      <c r="D2" s="84" t="s">
        <v>352</v>
      </c>
      <c r="E2" s="84" t="s">
        <v>353</v>
      </c>
      <c r="F2" s="2" t="s">
        <v>136</v>
      </c>
      <c r="G2" s="2" t="s">
        <v>137</v>
      </c>
      <c r="H2" s="2" t="s">
        <v>138</v>
      </c>
      <c r="I2" s="2" t="s">
        <v>139</v>
      </c>
      <c r="J2" s="2" t="s">
        <v>354</v>
      </c>
      <c r="K2" s="140" t="s">
        <v>147</v>
      </c>
      <c r="L2" s="36" t="s">
        <v>144</v>
      </c>
      <c r="M2" s="14" t="s">
        <v>145</v>
      </c>
      <c r="N2" s="14" t="s">
        <v>146</v>
      </c>
      <c r="O2" s="137" t="s">
        <v>147</v>
      </c>
      <c r="P2" s="3" t="s">
        <v>144</v>
      </c>
      <c r="Q2" s="3" t="s">
        <v>145</v>
      </c>
      <c r="R2" s="3" t="s">
        <v>146</v>
      </c>
      <c r="S2" s="24" t="s">
        <v>142</v>
      </c>
      <c r="T2" s="13" t="s">
        <v>148</v>
      </c>
      <c r="U2" s="13" t="s">
        <v>146</v>
      </c>
      <c r="V2" s="147" t="s">
        <v>142</v>
      </c>
      <c r="W2" s="44" t="s">
        <v>122</v>
      </c>
      <c r="X2" s="15" t="s">
        <v>153</v>
      </c>
      <c r="Y2" s="15" t="s">
        <v>124</v>
      </c>
      <c r="Z2" s="15" t="s">
        <v>156</v>
      </c>
      <c r="AA2" s="15" t="s">
        <v>158</v>
      </c>
      <c r="AB2" s="45" t="s">
        <v>159</v>
      </c>
    </row>
    <row r="3" spans="1:28" s="5" customFormat="1" ht="33.75" customHeight="1" x14ac:dyDescent="0.2">
      <c r="A3" s="56">
        <v>44313</v>
      </c>
      <c r="B3" s="131" t="s">
        <v>4</v>
      </c>
      <c r="C3" s="131" t="s">
        <v>4</v>
      </c>
      <c r="D3" s="121" t="s">
        <v>403</v>
      </c>
      <c r="E3" s="132" t="s">
        <v>360</v>
      </c>
      <c r="F3" s="100">
        <v>1</v>
      </c>
      <c r="G3" s="100">
        <v>1</v>
      </c>
      <c r="H3" s="100" t="s">
        <v>176</v>
      </c>
      <c r="I3" s="100">
        <v>2</v>
      </c>
      <c r="J3" s="100" t="s">
        <v>176</v>
      </c>
      <c r="K3" s="143" t="s">
        <v>429</v>
      </c>
      <c r="L3" s="160">
        <v>2.5</v>
      </c>
      <c r="M3" s="160">
        <v>2.9</v>
      </c>
      <c r="N3" s="116">
        <v>5</v>
      </c>
      <c r="O3" s="139" t="s">
        <v>430</v>
      </c>
      <c r="P3" s="161">
        <v>2.5</v>
      </c>
      <c r="Q3" s="161">
        <v>2.5</v>
      </c>
      <c r="R3" s="110">
        <v>4</v>
      </c>
      <c r="S3" s="146" t="s">
        <v>431</v>
      </c>
      <c r="T3" s="163">
        <v>0</v>
      </c>
      <c r="U3" s="163">
        <v>0</v>
      </c>
      <c r="V3" s="150" t="s">
        <v>176</v>
      </c>
      <c r="W3" s="128" t="s">
        <v>175</v>
      </c>
      <c r="X3" s="128" t="s">
        <v>175</v>
      </c>
      <c r="Y3" s="128" t="s">
        <v>175</v>
      </c>
      <c r="Z3" s="128" t="s">
        <v>175</v>
      </c>
      <c r="AA3" s="128" t="s">
        <v>175</v>
      </c>
      <c r="AB3" s="133" t="s">
        <v>175</v>
      </c>
    </row>
    <row r="4" spans="1:28" s="5" customFormat="1" x14ac:dyDescent="0.2">
      <c r="A4" s="118"/>
      <c r="B4" s="118" t="s">
        <v>9</v>
      </c>
      <c r="C4" s="118" t="s">
        <v>78</v>
      </c>
      <c r="D4" s="119" t="s">
        <v>408</v>
      </c>
      <c r="E4" s="120" t="s">
        <v>360</v>
      </c>
      <c r="F4" s="99">
        <v>0</v>
      </c>
      <c r="G4" s="99">
        <v>0</v>
      </c>
      <c r="H4" s="99" t="s">
        <v>176</v>
      </c>
      <c r="I4" s="99" t="s">
        <v>176</v>
      </c>
      <c r="J4" s="99" t="s">
        <v>176</v>
      </c>
      <c r="K4" s="123" t="s">
        <v>176</v>
      </c>
      <c r="L4" s="125">
        <v>4</v>
      </c>
      <c r="M4" s="125">
        <v>4</v>
      </c>
      <c r="N4" s="115">
        <v>4</v>
      </c>
      <c r="O4" s="124" t="s">
        <v>175</v>
      </c>
      <c r="P4" s="162">
        <v>3</v>
      </c>
      <c r="Q4" s="162">
        <v>3</v>
      </c>
      <c r="R4" s="109">
        <v>3</v>
      </c>
      <c r="S4" s="126" t="s">
        <v>176</v>
      </c>
      <c r="T4" s="104">
        <v>0</v>
      </c>
      <c r="U4" s="104">
        <v>0</v>
      </c>
      <c r="V4" s="127" t="s">
        <v>176</v>
      </c>
      <c r="W4" s="128" t="s">
        <v>175</v>
      </c>
      <c r="X4" s="128" t="s">
        <v>175</v>
      </c>
      <c r="Y4" s="128" t="s">
        <v>175</v>
      </c>
      <c r="Z4" s="128" t="s">
        <v>175</v>
      </c>
      <c r="AA4" s="128" t="s">
        <v>175</v>
      </c>
      <c r="AB4" s="133" t="s">
        <v>175</v>
      </c>
    </row>
    <row r="5" spans="1:28" s="5" customFormat="1" ht="76.5" x14ac:dyDescent="0.2">
      <c r="A5" s="55">
        <v>44301</v>
      </c>
      <c r="B5" s="118" t="s">
        <v>24</v>
      </c>
      <c r="C5" s="118" t="s">
        <v>72</v>
      </c>
      <c r="D5" s="121" t="s">
        <v>414</v>
      </c>
      <c r="E5" s="120"/>
      <c r="F5" s="99">
        <v>0.5</v>
      </c>
      <c r="G5" s="99">
        <v>2</v>
      </c>
      <c r="H5" s="99" t="s">
        <v>175</v>
      </c>
      <c r="I5" s="99">
        <v>2</v>
      </c>
      <c r="J5" s="99">
        <v>0.5</v>
      </c>
      <c r="K5" s="141" t="s">
        <v>415</v>
      </c>
      <c r="L5" s="125">
        <v>2</v>
      </c>
      <c r="M5" s="125">
        <v>2</v>
      </c>
      <c r="N5" s="115">
        <v>4</v>
      </c>
      <c r="O5" s="138" t="s">
        <v>415</v>
      </c>
      <c r="P5" s="162">
        <v>3</v>
      </c>
      <c r="Q5" s="162">
        <v>3</v>
      </c>
      <c r="R5" s="109">
        <v>5</v>
      </c>
      <c r="S5" s="144" t="s">
        <v>415</v>
      </c>
      <c r="T5" s="104" t="s">
        <v>175</v>
      </c>
      <c r="U5" s="104" t="s">
        <v>175</v>
      </c>
      <c r="V5" s="148" t="s">
        <v>175</v>
      </c>
      <c r="W5" s="128" t="s">
        <v>174</v>
      </c>
      <c r="X5" s="128" t="s">
        <v>175</v>
      </c>
      <c r="Y5" s="128" t="s">
        <v>175</v>
      </c>
      <c r="Z5" s="128" t="s">
        <v>175</v>
      </c>
      <c r="AA5" s="128" t="s">
        <v>174</v>
      </c>
      <c r="AB5" s="128" t="s">
        <v>174</v>
      </c>
    </row>
    <row r="6" spans="1:28" s="5" customFormat="1" ht="63.75" x14ac:dyDescent="0.2">
      <c r="A6" s="55">
        <v>44300</v>
      </c>
      <c r="B6" s="118" t="s">
        <v>45</v>
      </c>
      <c r="C6" s="118" t="s">
        <v>86</v>
      </c>
      <c r="D6" s="121" t="s">
        <v>357</v>
      </c>
      <c r="E6" s="120" t="s">
        <v>356</v>
      </c>
      <c r="F6" s="100">
        <v>0.5</v>
      </c>
      <c r="G6" s="99">
        <v>1</v>
      </c>
      <c r="H6" s="99" t="s">
        <v>175</v>
      </c>
      <c r="I6" s="99" t="s">
        <v>175</v>
      </c>
      <c r="J6" s="99" t="s">
        <v>175</v>
      </c>
      <c r="K6" s="141" t="s">
        <v>175</v>
      </c>
      <c r="L6" s="125">
        <v>0</v>
      </c>
      <c r="M6" s="125">
        <v>2</v>
      </c>
      <c r="N6" s="115" t="s">
        <v>175</v>
      </c>
      <c r="O6" s="138" t="s">
        <v>358</v>
      </c>
      <c r="P6" s="162">
        <v>0</v>
      </c>
      <c r="Q6" s="162">
        <v>2</v>
      </c>
      <c r="R6" s="109" t="s">
        <v>175</v>
      </c>
      <c r="S6" s="144" t="s">
        <v>358</v>
      </c>
      <c r="T6" s="102">
        <v>0</v>
      </c>
      <c r="U6" s="102">
        <v>2</v>
      </c>
      <c r="V6" s="148" t="s">
        <v>358</v>
      </c>
      <c r="W6" s="128" t="s">
        <v>174</v>
      </c>
      <c r="X6" s="128" t="s">
        <v>175</v>
      </c>
      <c r="Y6" s="128" t="s">
        <v>175</v>
      </c>
      <c r="Z6" s="128" t="s">
        <v>175</v>
      </c>
      <c r="AA6" s="128" t="s">
        <v>174</v>
      </c>
      <c r="AB6" s="128" t="s">
        <v>174</v>
      </c>
    </row>
    <row r="7" spans="1:28" s="6" customFormat="1" ht="114.75" x14ac:dyDescent="0.2">
      <c r="A7" s="55">
        <v>44300</v>
      </c>
      <c r="B7" s="118" t="s">
        <v>4</v>
      </c>
      <c r="C7" s="118" t="s">
        <v>108</v>
      </c>
      <c r="D7" s="121" t="s">
        <v>359</v>
      </c>
      <c r="E7" s="120" t="s">
        <v>360</v>
      </c>
      <c r="F7" s="100">
        <v>0</v>
      </c>
      <c r="G7" s="99">
        <v>0</v>
      </c>
      <c r="H7" s="99" t="s">
        <v>175</v>
      </c>
      <c r="I7" s="99" t="s">
        <v>175</v>
      </c>
      <c r="J7" s="99" t="s">
        <v>175</v>
      </c>
      <c r="K7" s="141" t="s">
        <v>361</v>
      </c>
      <c r="L7" s="125">
        <v>0.7</v>
      </c>
      <c r="M7" s="125">
        <v>3.3</v>
      </c>
      <c r="N7" s="115" t="s">
        <v>175</v>
      </c>
      <c r="O7" s="138" t="s">
        <v>362</v>
      </c>
      <c r="P7" s="162">
        <v>0.7</v>
      </c>
      <c r="Q7" s="162">
        <v>3.3</v>
      </c>
      <c r="R7" s="109" t="s">
        <v>175</v>
      </c>
      <c r="S7" s="144" t="s">
        <v>362</v>
      </c>
      <c r="T7" s="102">
        <v>1</v>
      </c>
      <c r="U7" s="102">
        <f>1000/750</f>
        <v>1.3333333333333333</v>
      </c>
      <c r="V7" s="148" t="s">
        <v>363</v>
      </c>
      <c r="W7" s="128" t="s">
        <v>175</v>
      </c>
      <c r="X7" s="128" t="s">
        <v>175</v>
      </c>
      <c r="Y7" s="128" t="s">
        <v>175</v>
      </c>
      <c r="Z7" s="128" t="s">
        <v>175</v>
      </c>
      <c r="AA7" s="128" t="s">
        <v>175</v>
      </c>
      <c r="AB7" s="128" t="s">
        <v>175</v>
      </c>
    </row>
    <row r="8" spans="1:28" s="6" customFormat="1" ht="38.25" x14ac:dyDescent="0.2">
      <c r="A8" s="55">
        <v>44300</v>
      </c>
      <c r="B8" s="118" t="s">
        <v>364</v>
      </c>
      <c r="C8" s="118" t="s">
        <v>108</v>
      </c>
      <c r="D8" s="121" t="s">
        <v>365</v>
      </c>
      <c r="E8" s="120" t="s">
        <v>360</v>
      </c>
      <c r="F8" s="100" t="s">
        <v>175</v>
      </c>
      <c r="G8" s="99" t="s">
        <v>175</v>
      </c>
      <c r="H8" s="99" t="s">
        <v>175</v>
      </c>
      <c r="I8" s="99" t="s">
        <v>175</v>
      </c>
      <c r="J8" s="99" t="s">
        <v>175</v>
      </c>
      <c r="K8" s="141" t="s">
        <v>175</v>
      </c>
      <c r="L8" s="125">
        <v>0.7</v>
      </c>
      <c r="M8" s="125">
        <v>3.3</v>
      </c>
      <c r="N8" s="115" t="s">
        <v>175</v>
      </c>
      <c r="O8" s="138" t="s">
        <v>362</v>
      </c>
      <c r="P8" s="162">
        <v>0.7</v>
      </c>
      <c r="Q8" s="162">
        <v>3.3</v>
      </c>
      <c r="R8" s="109" t="s">
        <v>175</v>
      </c>
      <c r="S8" s="144" t="s">
        <v>362</v>
      </c>
      <c r="T8" s="102">
        <v>0.7</v>
      </c>
      <c r="U8" s="102">
        <v>3.3</v>
      </c>
      <c r="V8" s="148" t="s">
        <v>362</v>
      </c>
      <c r="W8" s="128" t="s">
        <v>175</v>
      </c>
      <c r="X8" s="128" t="s">
        <v>175</v>
      </c>
      <c r="Y8" s="128" t="s">
        <v>175</v>
      </c>
      <c r="Z8" s="128" t="s">
        <v>175</v>
      </c>
      <c r="AA8" s="128" t="s">
        <v>175</v>
      </c>
      <c r="AB8" s="128" t="s">
        <v>175</v>
      </c>
    </row>
    <row r="9" spans="1:28" s="5" customFormat="1" ht="38.25" x14ac:dyDescent="0.2">
      <c r="A9" s="55">
        <v>44300</v>
      </c>
      <c r="B9" s="118" t="s">
        <v>364</v>
      </c>
      <c r="C9" s="118" t="s">
        <v>108</v>
      </c>
      <c r="D9" s="121" t="s">
        <v>366</v>
      </c>
      <c r="E9" s="120" t="s">
        <v>360</v>
      </c>
      <c r="F9" s="100" t="s">
        <v>175</v>
      </c>
      <c r="G9" s="99" t="s">
        <v>175</v>
      </c>
      <c r="H9" s="99" t="s">
        <v>175</v>
      </c>
      <c r="I9" s="99" t="s">
        <v>175</v>
      </c>
      <c r="J9" s="99" t="s">
        <v>175</v>
      </c>
      <c r="K9" s="141" t="s">
        <v>175</v>
      </c>
      <c r="L9" s="125">
        <f>1000/1500</f>
        <v>0.66666666666666663</v>
      </c>
      <c r="M9" s="125">
        <v>2</v>
      </c>
      <c r="N9" s="115" t="s">
        <v>175</v>
      </c>
      <c r="O9" s="138" t="s">
        <v>362</v>
      </c>
      <c r="P9" s="162">
        <f>1000/1500</f>
        <v>0.66666666666666663</v>
      </c>
      <c r="Q9" s="162">
        <v>2</v>
      </c>
      <c r="R9" s="109" t="s">
        <v>175</v>
      </c>
      <c r="S9" s="144" t="s">
        <v>362</v>
      </c>
      <c r="T9" s="102">
        <f>1000/1500</f>
        <v>0.66666666666666663</v>
      </c>
      <c r="U9" s="102">
        <v>2</v>
      </c>
      <c r="V9" s="148" t="s">
        <v>362</v>
      </c>
      <c r="W9" s="128" t="s">
        <v>175</v>
      </c>
      <c r="X9" s="128" t="s">
        <v>175</v>
      </c>
      <c r="Y9" s="128" t="s">
        <v>175</v>
      </c>
      <c r="Z9" s="128" t="s">
        <v>175</v>
      </c>
      <c r="AA9" s="128" t="s">
        <v>175</v>
      </c>
      <c r="AB9" s="128" t="s">
        <v>175</v>
      </c>
    </row>
    <row r="10" spans="1:28" s="129" customFormat="1" ht="165.75" x14ac:dyDescent="0.2">
      <c r="A10" s="55">
        <v>44300</v>
      </c>
      <c r="B10" s="118" t="s">
        <v>4</v>
      </c>
      <c r="C10" s="118" t="s">
        <v>108</v>
      </c>
      <c r="D10" s="121" t="s">
        <v>367</v>
      </c>
      <c r="E10" s="120" t="s">
        <v>360</v>
      </c>
      <c r="F10" s="100">
        <v>0</v>
      </c>
      <c r="G10" s="99">
        <v>0</v>
      </c>
      <c r="H10" s="99" t="s">
        <v>175</v>
      </c>
      <c r="I10" s="99" t="s">
        <v>175</v>
      </c>
      <c r="J10" s="99" t="s">
        <v>175</v>
      </c>
      <c r="K10" s="141" t="s">
        <v>361</v>
      </c>
      <c r="L10" s="125">
        <v>1</v>
      </c>
      <c r="M10" s="125">
        <v>2</v>
      </c>
      <c r="N10" s="115" t="s">
        <v>175</v>
      </c>
      <c r="O10" s="138" t="s">
        <v>368</v>
      </c>
      <c r="P10" s="162">
        <v>3.3</v>
      </c>
      <c r="Q10" s="162" t="s">
        <v>175</v>
      </c>
      <c r="R10" s="109" t="s">
        <v>175</v>
      </c>
      <c r="S10" s="144" t="s">
        <v>175</v>
      </c>
      <c r="T10" s="102" t="s">
        <v>175</v>
      </c>
      <c r="U10" s="102" t="s">
        <v>175</v>
      </c>
      <c r="V10" s="148" t="s">
        <v>369</v>
      </c>
      <c r="W10" s="128" t="s">
        <v>175</v>
      </c>
      <c r="X10" s="128" t="s">
        <v>175</v>
      </c>
      <c r="Y10" s="128" t="s">
        <v>175</v>
      </c>
      <c r="Z10" s="128" t="s">
        <v>175</v>
      </c>
      <c r="AA10" s="128" t="s">
        <v>175</v>
      </c>
      <c r="AB10" s="128" t="s">
        <v>175</v>
      </c>
    </row>
    <row r="11" spans="1:28" s="5" customFormat="1" ht="51" x14ac:dyDescent="0.2">
      <c r="A11" s="55">
        <v>44300</v>
      </c>
      <c r="B11" s="118" t="s">
        <v>24</v>
      </c>
      <c r="C11" s="118" t="s">
        <v>60</v>
      </c>
      <c r="D11" s="121" t="s">
        <v>370</v>
      </c>
      <c r="E11" s="120" t="s">
        <v>356</v>
      </c>
      <c r="F11" s="100"/>
      <c r="G11" s="99"/>
      <c r="H11" s="99" t="s">
        <v>175</v>
      </c>
      <c r="I11" s="99" t="s">
        <v>175</v>
      </c>
      <c r="J11" s="99" t="s">
        <v>175</v>
      </c>
      <c r="K11" s="141"/>
      <c r="L11" s="115" t="s">
        <v>175</v>
      </c>
      <c r="M11" s="115" t="s">
        <v>175</v>
      </c>
      <c r="N11" s="115" t="s">
        <v>175</v>
      </c>
      <c r="O11" s="138" t="s">
        <v>175</v>
      </c>
      <c r="P11" s="162" t="s">
        <v>175</v>
      </c>
      <c r="Q11" s="162" t="s">
        <v>175</v>
      </c>
      <c r="R11" s="109" t="s">
        <v>175</v>
      </c>
      <c r="S11" s="144" t="s">
        <v>175</v>
      </c>
      <c r="T11" s="102" t="s">
        <v>175</v>
      </c>
      <c r="U11" s="102" t="s">
        <v>175</v>
      </c>
      <c r="V11" s="148" t="s">
        <v>175</v>
      </c>
      <c r="W11" s="128" t="s">
        <v>175</v>
      </c>
      <c r="X11" s="128" t="s">
        <v>175</v>
      </c>
      <c r="Y11" s="128" t="s">
        <v>175</v>
      </c>
      <c r="Z11" s="128" t="s">
        <v>175</v>
      </c>
      <c r="AA11" s="128" t="s">
        <v>175</v>
      </c>
      <c r="AB11" s="128" t="s">
        <v>175</v>
      </c>
    </row>
    <row r="12" spans="1:28" s="5" customFormat="1" ht="89.25" x14ac:dyDescent="0.2">
      <c r="A12" s="56">
        <v>44313</v>
      </c>
      <c r="B12" s="118" t="s">
        <v>24</v>
      </c>
      <c r="C12" s="118" t="s">
        <v>73</v>
      </c>
      <c r="D12" s="121" t="s">
        <v>440</v>
      </c>
      <c r="E12" s="120" t="s">
        <v>356</v>
      </c>
      <c r="F12" s="99" t="s">
        <v>175</v>
      </c>
      <c r="G12" s="99" t="s">
        <v>175</v>
      </c>
      <c r="H12" s="99" t="s">
        <v>175</v>
      </c>
      <c r="I12" s="99" t="s">
        <v>175</v>
      </c>
      <c r="J12" s="99" t="s">
        <v>175</v>
      </c>
      <c r="K12" s="141" t="s">
        <v>175</v>
      </c>
      <c r="L12" s="125">
        <v>0</v>
      </c>
      <c r="M12" s="125">
        <v>2.5</v>
      </c>
      <c r="N12" s="115" t="s">
        <v>175</v>
      </c>
      <c r="O12" s="138" t="s">
        <v>441</v>
      </c>
      <c r="P12" s="162" t="s">
        <v>175</v>
      </c>
      <c r="Q12" s="162" t="s">
        <v>175</v>
      </c>
      <c r="R12" s="109" t="s">
        <v>175</v>
      </c>
      <c r="S12" s="144" t="s">
        <v>175</v>
      </c>
      <c r="T12" s="104" t="s">
        <v>175</v>
      </c>
      <c r="U12" s="104" t="s">
        <v>175</v>
      </c>
      <c r="V12" s="148" t="s">
        <v>175</v>
      </c>
      <c r="W12" s="128" t="s">
        <v>175</v>
      </c>
      <c r="X12" s="128" t="s">
        <v>175</v>
      </c>
      <c r="Y12" s="128" t="s">
        <v>175</v>
      </c>
      <c r="Z12" s="128" t="s">
        <v>175</v>
      </c>
      <c r="AA12" s="128" t="s">
        <v>175</v>
      </c>
      <c r="AB12" s="133" t="s">
        <v>175</v>
      </c>
    </row>
    <row r="13" spans="1:28" s="5" customFormat="1" ht="25.5" x14ac:dyDescent="0.2">
      <c r="A13" s="55">
        <v>44302</v>
      </c>
      <c r="B13" s="118" t="s">
        <v>48</v>
      </c>
      <c r="C13" s="118" t="s">
        <v>90</v>
      </c>
      <c r="D13" s="119" t="s">
        <v>396</v>
      </c>
      <c r="E13" s="120" t="s">
        <v>356</v>
      </c>
      <c r="F13" s="99">
        <v>2</v>
      </c>
      <c r="G13" s="99">
        <v>2</v>
      </c>
      <c r="H13" s="99" t="s">
        <v>176</v>
      </c>
      <c r="I13" s="99" t="s">
        <v>176</v>
      </c>
      <c r="J13" s="99" t="s">
        <v>176</v>
      </c>
      <c r="K13" s="141" t="s">
        <v>176</v>
      </c>
      <c r="L13" s="125">
        <v>2.9</v>
      </c>
      <c r="M13" s="125">
        <v>2.9</v>
      </c>
      <c r="N13" s="115" t="s">
        <v>176</v>
      </c>
      <c r="O13" s="138" t="s">
        <v>176</v>
      </c>
      <c r="P13" s="162">
        <v>2.35</v>
      </c>
      <c r="Q13" s="162">
        <v>2.35</v>
      </c>
      <c r="R13" s="109" t="s">
        <v>176</v>
      </c>
      <c r="S13" s="144" t="s">
        <v>176</v>
      </c>
      <c r="T13" s="104">
        <v>0</v>
      </c>
      <c r="U13" s="104">
        <v>0</v>
      </c>
      <c r="V13" s="148" t="s">
        <v>176</v>
      </c>
      <c r="W13" s="128" t="s">
        <v>174</v>
      </c>
      <c r="X13" s="128" t="s">
        <v>175</v>
      </c>
      <c r="Y13" s="128" t="s">
        <v>175</v>
      </c>
      <c r="Z13" s="128" t="s">
        <v>175</v>
      </c>
      <c r="AA13" s="128" t="s">
        <v>175</v>
      </c>
      <c r="AB13" s="128" t="s">
        <v>175</v>
      </c>
    </row>
    <row r="14" spans="1:28" s="129" customFormat="1" ht="24.75" customHeight="1" x14ac:dyDescent="0.2">
      <c r="A14" s="55">
        <v>44300</v>
      </c>
      <c r="B14" s="118" t="s">
        <v>9</v>
      </c>
      <c r="C14" s="118" t="s">
        <v>98</v>
      </c>
      <c r="D14" s="121" t="s">
        <v>371</v>
      </c>
      <c r="E14" s="120" t="s">
        <v>356</v>
      </c>
      <c r="F14" s="99">
        <v>0</v>
      </c>
      <c r="G14" s="99">
        <v>0</v>
      </c>
      <c r="H14" s="99" t="s">
        <v>175</v>
      </c>
      <c r="I14" s="99" t="s">
        <v>176</v>
      </c>
      <c r="J14" s="99" t="s">
        <v>176</v>
      </c>
      <c r="K14" s="141" t="s">
        <v>176</v>
      </c>
      <c r="L14" s="125">
        <v>4</v>
      </c>
      <c r="M14" s="125">
        <v>4</v>
      </c>
      <c r="N14" s="115" t="s">
        <v>176</v>
      </c>
      <c r="O14" s="138" t="s">
        <v>176</v>
      </c>
      <c r="P14" s="162">
        <v>0</v>
      </c>
      <c r="Q14" s="162">
        <v>0</v>
      </c>
      <c r="R14" s="109" t="s">
        <v>176</v>
      </c>
      <c r="S14" s="144" t="s">
        <v>176</v>
      </c>
      <c r="T14" s="104">
        <v>0</v>
      </c>
      <c r="U14" s="104">
        <v>0</v>
      </c>
      <c r="V14" s="148" t="s">
        <v>176</v>
      </c>
      <c r="W14" s="128" t="s">
        <v>175</v>
      </c>
      <c r="X14" s="128" t="s">
        <v>174</v>
      </c>
      <c r="Y14" s="128" t="s">
        <v>175</v>
      </c>
      <c r="Z14" s="128" t="s">
        <v>175</v>
      </c>
      <c r="AA14" s="128" t="s">
        <v>175</v>
      </c>
      <c r="AB14" s="128" t="s">
        <v>174</v>
      </c>
    </row>
    <row r="15" spans="1:28" s="5" customFormat="1" ht="54.75" customHeight="1" x14ac:dyDescent="0.2">
      <c r="A15" s="55">
        <v>44300</v>
      </c>
      <c r="B15" s="118" t="s">
        <v>45</v>
      </c>
      <c r="C15" s="118" t="s">
        <v>87</v>
      </c>
      <c r="D15" s="121" t="s">
        <v>372</v>
      </c>
      <c r="E15" s="120" t="s">
        <v>356</v>
      </c>
      <c r="F15" s="99" t="s">
        <v>175</v>
      </c>
      <c r="G15" s="99" t="s">
        <v>175</v>
      </c>
      <c r="H15" s="99" t="s">
        <v>175</v>
      </c>
      <c r="I15" s="99" t="s">
        <v>175</v>
      </c>
      <c r="J15" s="99" t="s">
        <v>175</v>
      </c>
      <c r="K15" s="142" t="s">
        <v>175</v>
      </c>
      <c r="L15" s="115" t="s">
        <v>175</v>
      </c>
      <c r="M15" s="115" t="s">
        <v>175</v>
      </c>
      <c r="N15" s="115" t="s">
        <v>175</v>
      </c>
      <c r="O15" s="138" t="s">
        <v>373</v>
      </c>
      <c r="P15" s="109" t="s">
        <v>175</v>
      </c>
      <c r="Q15" s="109" t="s">
        <v>175</v>
      </c>
      <c r="R15" s="109" t="s">
        <v>175</v>
      </c>
      <c r="S15" s="145" t="s">
        <v>175</v>
      </c>
      <c r="T15" s="104" t="s">
        <v>175</v>
      </c>
      <c r="U15" s="104" t="s">
        <v>175</v>
      </c>
      <c r="V15" s="149" t="s">
        <v>175</v>
      </c>
      <c r="W15" s="128" t="s">
        <v>175</v>
      </c>
      <c r="X15" s="128" t="s">
        <v>175</v>
      </c>
      <c r="Y15" s="128" t="s">
        <v>175</v>
      </c>
      <c r="Z15" s="128" t="s">
        <v>175</v>
      </c>
      <c r="AA15" s="128" t="s">
        <v>175</v>
      </c>
      <c r="AB15" s="128" t="s">
        <v>174</v>
      </c>
    </row>
    <row r="16" spans="1:28" s="5" customFormat="1" ht="63.75" x14ac:dyDescent="0.2">
      <c r="A16" s="55">
        <v>44300</v>
      </c>
      <c r="B16" s="118" t="s">
        <v>4</v>
      </c>
      <c r="C16" s="118" t="s">
        <v>57</v>
      </c>
      <c r="D16" s="119" t="s">
        <v>405</v>
      </c>
      <c r="E16" s="120" t="s">
        <v>360</v>
      </c>
      <c r="F16" s="99">
        <v>1</v>
      </c>
      <c r="G16" s="99">
        <v>1.5</v>
      </c>
      <c r="H16" s="99">
        <v>1</v>
      </c>
      <c r="I16" s="99" t="s">
        <v>176</v>
      </c>
      <c r="J16" s="99" t="s">
        <v>176</v>
      </c>
      <c r="K16" s="143" t="s">
        <v>406</v>
      </c>
      <c r="L16" s="125">
        <f>1/315*1000</f>
        <v>3.1746031746031744</v>
      </c>
      <c r="M16" s="125">
        <v>3.17</v>
      </c>
      <c r="N16" s="115" t="s">
        <v>176</v>
      </c>
      <c r="O16" s="138" t="s">
        <v>407</v>
      </c>
      <c r="P16" s="162">
        <v>3.17</v>
      </c>
      <c r="Q16" s="162">
        <v>3.17</v>
      </c>
      <c r="R16" s="109" t="s">
        <v>176</v>
      </c>
      <c r="S16" s="144" t="s">
        <v>407</v>
      </c>
      <c r="T16" s="104" t="s">
        <v>175</v>
      </c>
      <c r="U16" s="104" t="s">
        <v>175</v>
      </c>
      <c r="V16" s="148" t="s">
        <v>176</v>
      </c>
      <c r="W16" s="128" t="s">
        <v>175</v>
      </c>
      <c r="X16" s="128" t="s">
        <v>175</v>
      </c>
      <c r="Y16" s="128" t="s">
        <v>175</v>
      </c>
      <c r="Z16" s="128" t="s">
        <v>174</v>
      </c>
      <c r="AA16" s="128" t="s">
        <v>175</v>
      </c>
      <c r="AB16" s="128" t="s">
        <v>174</v>
      </c>
    </row>
    <row r="17" spans="1:29" s="5" customFormat="1" ht="76.5" x14ac:dyDescent="0.2">
      <c r="A17" s="56">
        <v>44313</v>
      </c>
      <c r="B17" s="131" t="s">
        <v>4</v>
      </c>
      <c r="C17" s="131" t="s">
        <v>57</v>
      </c>
      <c r="D17" s="121" t="s">
        <v>404</v>
      </c>
      <c r="E17" s="132" t="s">
        <v>360</v>
      </c>
      <c r="F17" s="100">
        <v>0.5</v>
      </c>
      <c r="G17" s="100">
        <v>1.5</v>
      </c>
      <c r="H17" s="100">
        <v>1</v>
      </c>
      <c r="I17" s="100" t="s">
        <v>175</v>
      </c>
      <c r="J17" s="100" t="s">
        <v>175</v>
      </c>
      <c r="K17" s="143" t="s">
        <v>175</v>
      </c>
      <c r="L17" s="160">
        <f>1/315*1000</f>
        <v>3.1746031746031744</v>
      </c>
      <c r="M17" s="160">
        <f>1/315*1000</f>
        <v>3.1746031746031744</v>
      </c>
      <c r="N17" s="116" t="s">
        <v>175</v>
      </c>
      <c r="O17" s="139" t="s">
        <v>432</v>
      </c>
      <c r="P17" s="161">
        <v>3</v>
      </c>
      <c r="Q17" s="161">
        <v>3</v>
      </c>
      <c r="R17" s="110" t="s">
        <v>175</v>
      </c>
      <c r="S17" s="146" t="s">
        <v>433</v>
      </c>
      <c r="T17" s="163" t="s">
        <v>175</v>
      </c>
      <c r="U17" s="163" t="s">
        <v>175</v>
      </c>
      <c r="V17" s="150" t="s">
        <v>175</v>
      </c>
      <c r="W17" s="128" t="s">
        <v>175</v>
      </c>
      <c r="X17" s="128" t="s">
        <v>175</v>
      </c>
      <c r="Y17" s="128" t="s">
        <v>175</v>
      </c>
      <c r="Z17" s="128" t="s">
        <v>175</v>
      </c>
      <c r="AA17" s="128" t="s">
        <v>175</v>
      </c>
      <c r="AB17" s="133" t="s">
        <v>174</v>
      </c>
    </row>
    <row r="18" spans="1:29" s="5" customFormat="1" ht="76.5" x14ac:dyDescent="0.2">
      <c r="A18" s="55">
        <v>44304</v>
      </c>
      <c r="B18" s="118" t="s">
        <v>24</v>
      </c>
      <c r="C18" s="118" t="s">
        <v>64</v>
      </c>
      <c r="D18" s="121" t="s">
        <v>439</v>
      </c>
      <c r="E18" s="120" t="s">
        <v>356</v>
      </c>
      <c r="F18" s="99">
        <v>1</v>
      </c>
      <c r="G18" s="99">
        <v>2</v>
      </c>
      <c r="H18" s="99" t="s">
        <v>175</v>
      </c>
      <c r="I18" s="99" t="s">
        <v>175</v>
      </c>
      <c r="J18" s="99" t="s">
        <v>175</v>
      </c>
      <c r="K18" s="141" t="s">
        <v>175</v>
      </c>
      <c r="L18" s="125">
        <v>0</v>
      </c>
      <c r="M18" s="125">
        <v>0</v>
      </c>
      <c r="N18" s="115" t="s">
        <v>175</v>
      </c>
      <c r="O18" s="138" t="s">
        <v>438</v>
      </c>
      <c r="P18" s="162">
        <v>3.33</v>
      </c>
      <c r="Q18" s="162">
        <v>3.33</v>
      </c>
      <c r="R18" s="109" t="s">
        <v>175</v>
      </c>
      <c r="S18" s="144" t="s">
        <v>175</v>
      </c>
      <c r="T18" s="104" t="s">
        <v>175</v>
      </c>
      <c r="U18" s="104" t="s">
        <v>175</v>
      </c>
      <c r="V18" s="148" t="s">
        <v>175</v>
      </c>
      <c r="W18" s="128" t="s">
        <v>175</v>
      </c>
      <c r="X18" s="128" t="s">
        <v>175</v>
      </c>
      <c r="Y18" s="128" t="s">
        <v>175</v>
      </c>
      <c r="Z18" s="128" t="s">
        <v>175</v>
      </c>
      <c r="AA18" s="128" t="s">
        <v>175</v>
      </c>
      <c r="AB18" s="133" t="s">
        <v>175</v>
      </c>
    </row>
    <row r="19" spans="1:29" s="5" customFormat="1" ht="30.75" customHeight="1" x14ac:dyDescent="0.2">
      <c r="A19" s="55">
        <v>44300</v>
      </c>
      <c r="B19" s="118" t="s">
        <v>27</v>
      </c>
      <c r="C19" s="118" t="s">
        <v>374</v>
      </c>
      <c r="D19" s="121" t="s">
        <v>437</v>
      </c>
      <c r="E19" s="120" t="s">
        <v>360</v>
      </c>
      <c r="F19" s="99" t="s">
        <v>175</v>
      </c>
      <c r="G19" s="99" t="s">
        <v>175</v>
      </c>
      <c r="H19" s="99" t="s">
        <v>175</v>
      </c>
      <c r="I19" s="99" t="s">
        <v>175</v>
      </c>
      <c r="J19" s="99" t="s">
        <v>175</v>
      </c>
      <c r="K19" s="142" t="s">
        <v>175</v>
      </c>
      <c r="L19" s="125">
        <v>0</v>
      </c>
      <c r="M19" s="125">
        <v>0</v>
      </c>
      <c r="N19" s="115">
        <v>0</v>
      </c>
      <c r="O19" s="138" t="s">
        <v>375</v>
      </c>
      <c r="P19" s="162">
        <v>0</v>
      </c>
      <c r="Q19" s="162">
        <v>0</v>
      </c>
      <c r="R19" s="109">
        <v>0</v>
      </c>
      <c r="S19" s="144" t="s">
        <v>375</v>
      </c>
      <c r="T19" s="104">
        <v>0</v>
      </c>
      <c r="U19" s="104">
        <v>0</v>
      </c>
      <c r="V19" s="148" t="s">
        <v>375</v>
      </c>
      <c r="W19" s="128" t="s">
        <v>175</v>
      </c>
      <c r="X19" s="128" t="s">
        <v>175</v>
      </c>
      <c r="Y19" s="128" t="s">
        <v>175</v>
      </c>
      <c r="Z19" s="128" t="s">
        <v>175</v>
      </c>
      <c r="AA19" s="128" t="s">
        <v>175</v>
      </c>
      <c r="AB19" s="128" t="s">
        <v>175</v>
      </c>
    </row>
    <row r="20" spans="1:29" s="5" customFormat="1" ht="30.75" customHeight="1" x14ac:dyDescent="0.2">
      <c r="A20" s="55">
        <v>44302</v>
      </c>
      <c r="B20" s="118" t="s">
        <v>11</v>
      </c>
      <c r="C20" s="118" t="s">
        <v>81</v>
      </c>
      <c r="D20" s="121" t="s">
        <v>387</v>
      </c>
      <c r="E20" s="120" t="s">
        <v>356</v>
      </c>
      <c r="F20" s="99">
        <v>1</v>
      </c>
      <c r="G20" s="99" t="s">
        <v>296</v>
      </c>
      <c r="H20" s="99">
        <v>2</v>
      </c>
      <c r="I20" s="99" t="s">
        <v>176</v>
      </c>
      <c r="J20" s="99">
        <v>0.25</v>
      </c>
      <c r="K20" s="141" t="s">
        <v>176</v>
      </c>
      <c r="L20" s="125">
        <v>3.3</v>
      </c>
      <c r="M20" s="125">
        <v>3.3</v>
      </c>
      <c r="N20" s="115" t="s">
        <v>176</v>
      </c>
      <c r="O20" s="138" t="s">
        <v>388</v>
      </c>
      <c r="P20" s="162">
        <v>3.3</v>
      </c>
      <c r="Q20" s="162">
        <v>4</v>
      </c>
      <c r="R20" s="109" t="s">
        <v>176</v>
      </c>
      <c r="S20" s="144" t="s">
        <v>389</v>
      </c>
      <c r="T20" s="104" t="s">
        <v>175</v>
      </c>
      <c r="U20" s="104" t="s">
        <v>175</v>
      </c>
      <c r="V20" s="148" t="s">
        <v>390</v>
      </c>
      <c r="W20" s="128" t="s">
        <v>175</v>
      </c>
      <c r="X20" s="128" t="s">
        <v>175</v>
      </c>
      <c r="Y20" s="128" t="s">
        <v>175</v>
      </c>
      <c r="Z20" s="128" t="s">
        <v>175</v>
      </c>
      <c r="AA20" s="128" t="s">
        <v>174</v>
      </c>
      <c r="AB20" s="128" t="s">
        <v>174</v>
      </c>
    </row>
    <row r="21" spans="1:29" s="25" customFormat="1" x14ac:dyDescent="0.2">
      <c r="A21" s="55">
        <v>41013</v>
      </c>
      <c r="B21" s="118" t="s">
        <v>4</v>
      </c>
      <c r="C21" s="118" t="s">
        <v>110</v>
      </c>
      <c r="D21" s="119" t="s">
        <v>355</v>
      </c>
      <c r="E21" s="120" t="s">
        <v>356</v>
      </c>
      <c r="F21" s="100">
        <v>0</v>
      </c>
      <c r="G21" s="99">
        <v>0</v>
      </c>
      <c r="H21" s="99" t="s">
        <v>175</v>
      </c>
      <c r="I21" s="99" t="s">
        <v>176</v>
      </c>
      <c r="J21" s="99">
        <v>0</v>
      </c>
      <c r="K21" s="141" t="s">
        <v>175</v>
      </c>
      <c r="L21" s="125">
        <v>0</v>
      </c>
      <c r="M21" s="125">
        <v>0</v>
      </c>
      <c r="N21" s="115" t="s">
        <v>175</v>
      </c>
      <c r="O21" s="138" t="s">
        <v>175</v>
      </c>
      <c r="P21" s="162">
        <v>0</v>
      </c>
      <c r="Q21" s="162">
        <v>0</v>
      </c>
      <c r="R21" s="109" t="s">
        <v>175</v>
      </c>
      <c r="S21" s="144" t="s">
        <v>175</v>
      </c>
      <c r="T21" s="104">
        <v>0</v>
      </c>
      <c r="U21" s="104" t="s">
        <v>175</v>
      </c>
      <c r="V21" s="148" t="s">
        <v>175</v>
      </c>
      <c r="W21" s="128" t="s">
        <v>175</v>
      </c>
      <c r="X21" s="128" t="s">
        <v>175</v>
      </c>
      <c r="Y21" s="128" t="s">
        <v>175</v>
      </c>
      <c r="Z21" s="128" t="s">
        <v>175</v>
      </c>
      <c r="AA21" s="128" t="s">
        <v>175</v>
      </c>
      <c r="AB21" s="128" t="s">
        <v>175</v>
      </c>
    </row>
    <row r="22" spans="1:29" s="25" customFormat="1" ht="25.5" x14ac:dyDescent="0.2">
      <c r="A22" s="118"/>
      <c r="B22" s="118" t="s">
        <v>48</v>
      </c>
      <c r="C22" s="118" t="s">
        <v>107</v>
      </c>
      <c r="D22" s="119" t="s">
        <v>397</v>
      </c>
      <c r="E22" s="120" t="s">
        <v>356</v>
      </c>
      <c r="F22" s="99">
        <v>0</v>
      </c>
      <c r="G22" s="99">
        <v>0</v>
      </c>
      <c r="H22" s="99" t="s">
        <v>176</v>
      </c>
      <c r="I22" s="99" t="s">
        <v>176</v>
      </c>
      <c r="J22" s="99" t="s">
        <v>176</v>
      </c>
      <c r="K22" s="123" t="s">
        <v>176</v>
      </c>
      <c r="L22" s="125">
        <v>2</v>
      </c>
      <c r="M22" s="125">
        <v>2</v>
      </c>
      <c r="N22" s="115">
        <v>4.16</v>
      </c>
      <c r="O22" s="124" t="s">
        <v>176</v>
      </c>
      <c r="P22" s="162">
        <v>3.22</v>
      </c>
      <c r="Q22" s="162">
        <v>3.22</v>
      </c>
      <c r="R22" s="109">
        <v>4</v>
      </c>
      <c r="S22" s="126" t="s">
        <v>176</v>
      </c>
      <c r="T22" s="104" t="s">
        <v>176</v>
      </c>
      <c r="U22" s="104" t="s">
        <v>176</v>
      </c>
      <c r="V22" s="127" t="s">
        <v>176</v>
      </c>
      <c r="W22" s="128" t="s">
        <v>175</v>
      </c>
      <c r="X22" s="128" t="s">
        <v>175</v>
      </c>
      <c r="Y22" s="128" t="s">
        <v>175</v>
      </c>
      <c r="Z22" s="128" t="s">
        <v>175</v>
      </c>
      <c r="AA22" s="128" t="s">
        <v>175</v>
      </c>
      <c r="AB22" s="133" t="s">
        <v>175</v>
      </c>
    </row>
    <row r="23" spans="1:29" s="6" customFormat="1" ht="25.5" x14ac:dyDescent="0.2">
      <c r="A23" s="56">
        <v>44300</v>
      </c>
      <c r="B23" s="131" t="s">
        <v>24</v>
      </c>
      <c r="C23" s="131" t="s">
        <v>61</v>
      </c>
      <c r="D23" s="135" t="s">
        <v>416</v>
      </c>
      <c r="E23" s="132" t="s">
        <v>360</v>
      </c>
      <c r="F23" s="100">
        <v>1</v>
      </c>
      <c r="G23" s="100">
        <v>2</v>
      </c>
      <c r="H23" s="100" t="s">
        <v>176</v>
      </c>
      <c r="I23" s="100" t="s">
        <v>176</v>
      </c>
      <c r="J23" s="100">
        <v>0.25</v>
      </c>
      <c r="K23" s="143" t="s">
        <v>417</v>
      </c>
      <c r="L23" s="160" t="s">
        <v>175</v>
      </c>
      <c r="M23" s="160" t="s">
        <v>175</v>
      </c>
      <c r="N23" s="116" t="s">
        <v>175</v>
      </c>
      <c r="O23" s="139" t="s">
        <v>204</v>
      </c>
      <c r="P23" s="161" t="s">
        <v>175</v>
      </c>
      <c r="Q23" s="161" t="s">
        <v>175</v>
      </c>
      <c r="R23" s="110" t="s">
        <v>175</v>
      </c>
      <c r="S23" s="146" t="s">
        <v>175</v>
      </c>
      <c r="T23" s="163">
        <v>1</v>
      </c>
      <c r="U23" s="163">
        <v>1</v>
      </c>
      <c r="V23" s="150" t="s">
        <v>434</v>
      </c>
      <c r="W23" s="133" t="s">
        <v>174</v>
      </c>
      <c r="X23" s="128" t="s">
        <v>175</v>
      </c>
      <c r="Y23" s="128" t="s">
        <v>175</v>
      </c>
      <c r="Z23" s="128" t="s">
        <v>175</v>
      </c>
      <c r="AA23" s="128" t="s">
        <v>175</v>
      </c>
      <c r="AB23" s="128" t="s">
        <v>175</v>
      </c>
    </row>
    <row r="24" spans="1:29" s="25" customFormat="1" ht="127.5" x14ac:dyDescent="0.2">
      <c r="A24" s="55">
        <v>44302</v>
      </c>
      <c r="B24" s="118" t="s">
        <v>24</v>
      </c>
      <c r="C24" s="118" t="s">
        <v>61</v>
      </c>
      <c r="D24" s="121" t="s">
        <v>391</v>
      </c>
      <c r="E24" s="120" t="s">
        <v>356</v>
      </c>
      <c r="F24" s="99">
        <v>0.75</v>
      </c>
      <c r="G24" s="99">
        <v>1.5</v>
      </c>
      <c r="H24" s="99" t="s">
        <v>176</v>
      </c>
      <c r="I24" s="99" t="s">
        <v>392</v>
      </c>
      <c r="J24" s="99" t="s">
        <v>176</v>
      </c>
      <c r="K24" s="141" t="s">
        <v>176</v>
      </c>
      <c r="L24" s="160">
        <v>6</v>
      </c>
      <c r="M24" s="160">
        <v>6</v>
      </c>
      <c r="N24" s="116">
        <v>6</v>
      </c>
      <c r="O24" s="139" t="s">
        <v>393</v>
      </c>
      <c r="P24" s="161">
        <v>6</v>
      </c>
      <c r="Q24" s="161">
        <v>6</v>
      </c>
      <c r="R24" s="110">
        <v>6</v>
      </c>
      <c r="S24" s="144" t="s">
        <v>176</v>
      </c>
      <c r="T24" s="104">
        <v>1</v>
      </c>
      <c r="U24" s="104">
        <v>2</v>
      </c>
      <c r="V24" s="148" t="s">
        <v>394</v>
      </c>
      <c r="W24" s="128" t="s">
        <v>174</v>
      </c>
      <c r="X24" s="128" t="s">
        <v>175</v>
      </c>
      <c r="Y24" s="128" t="s">
        <v>175</v>
      </c>
      <c r="Z24" s="128" t="s">
        <v>175</v>
      </c>
      <c r="AA24" s="128" t="s">
        <v>175</v>
      </c>
      <c r="AB24" s="128" t="s">
        <v>174</v>
      </c>
    </row>
    <row r="25" spans="1:29" s="5" customFormat="1" x14ac:dyDescent="0.2">
      <c r="A25" s="55">
        <v>44300</v>
      </c>
      <c r="B25" s="118" t="s">
        <v>24</v>
      </c>
      <c r="C25" s="131" t="s">
        <v>65</v>
      </c>
      <c r="D25" s="121" t="s">
        <v>376</v>
      </c>
      <c r="E25" s="120" t="s">
        <v>360</v>
      </c>
      <c r="F25" s="99">
        <v>1</v>
      </c>
      <c r="G25" s="99">
        <v>1.5</v>
      </c>
      <c r="H25" s="99">
        <v>1</v>
      </c>
      <c r="I25" s="99" t="s">
        <v>175</v>
      </c>
      <c r="J25" s="99">
        <v>0.25</v>
      </c>
      <c r="K25" s="142" t="s">
        <v>175</v>
      </c>
      <c r="L25" s="125">
        <f>1/400*1000</f>
        <v>2.5</v>
      </c>
      <c r="M25" s="125">
        <f>1/250*1000</f>
        <v>4</v>
      </c>
      <c r="N25" s="115" t="s">
        <v>175</v>
      </c>
      <c r="O25" s="138"/>
      <c r="P25" s="162">
        <f>1/400*1000</f>
        <v>2.5</v>
      </c>
      <c r="Q25" s="162">
        <f>1/400*1000</f>
        <v>2.5</v>
      </c>
      <c r="R25" s="109" t="s">
        <v>175</v>
      </c>
      <c r="S25" s="144" t="s">
        <v>175</v>
      </c>
      <c r="T25" s="104" t="s">
        <v>175</v>
      </c>
      <c r="U25" s="104" t="s">
        <v>175</v>
      </c>
      <c r="V25" s="148" t="s">
        <v>175</v>
      </c>
      <c r="W25" s="128" t="s">
        <v>175</v>
      </c>
      <c r="X25" s="128" t="s">
        <v>175</v>
      </c>
      <c r="Y25" s="128" t="s">
        <v>175</v>
      </c>
      <c r="Z25" s="128" t="s">
        <v>175</v>
      </c>
      <c r="AA25" s="128" t="s">
        <v>175</v>
      </c>
      <c r="AB25" s="128" t="s">
        <v>175</v>
      </c>
      <c r="AC25" s="7"/>
    </row>
    <row r="26" spans="1:29" s="5" customFormat="1" ht="38.25" x14ac:dyDescent="0.2">
      <c r="A26" s="55">
        <v>44300</v>
      </c>
      <c r="B26" s="118" t="s">
        <v>48</v>
      </c>
      <c r="C26" s="118" t="s">
        <v>113</v>
      </c>
      <c r="D26" s="119" t="s">
        <v>398</v>
      </c>
      <c r="E26" s="120" t="s">
        <v>356</v>
      </c>
      <c r="F26" s="99">
        <v>1</v>
      </c>
      <c r="G26" s="99">
        <v>1</v>
      </c>
      <c r="H26" s="99" t="s">
        <v>176</v>
      </c>
      <c r="I26" s="99" t="s">
        <v>176</v>
      </c>
      <c r="J26" s="99" t="s">
        <v>176</v>
      </c>
      <c r="K26" s="141" t="s">
        <v>176</v>
      </c>
      <c r="L26" s="125">
        <v>0</v>
      </c>
      <c r="M26" s="125">
        <v>0</v>
      </c>
      <c r="N26" s="115" t="s">
        <v>176</v>
      </c>
      <c r="O26" s="138" t="s">
        <v>176</v>
      </c>
      <c r="P26" s="162">
        <v>2.5</v>
      </c>
      <c r="Q26" s="162">
        <v>2.5</v>
      </c>
      <c r="R26" s="109" t="s">
        <v>176</v>
      </c>
      <c r="S26" s="144" t="s">
        <v>399</v>
      </c>
      <c r="T26" s="102" t="s">
        <v>400</v>
      </c>
      <c r="U26" s="104" t="s">
        <v>176</v>
      </c>
      <c r="V26" s="148" t="s">
        <v>401</v>
      </c>
      <c r="W26" s="128" t="s">
        <v>175</v>
      </c>
      <c r="X26" s="128" t="s">
        <v>175</v>
      </c>
      <c r="Y26" s="128" t="s">
        <v>175</v>
      </c>
      <c r="Z26" s="128" t="s">
        <v>175</v>
      </c>
      <c r="AA26" s="128" t="s">
        <v>175</v>
      </c>
      <c r="AB26" s="128" t="s">
        <v>174</v>
      </c>
    </row>
    <row r="27" spans="1:29" s="6" customFormat="1" ht="38.25" x14ac:dyDescent="0.2">
      <c r="A27" s="56">
        <v>44313</v>
      </c>
      <c r="B27" s="131" t="s">
        <v>24</v>
      </c>
      <c r="C27" s="131" t="s">
        <v>24</v>
      </c>
      <c r="D27" s="121" t="s">
        <v>395</v>
      </c>
      <c r="E27" s="132" t="s">
        <v>356</v>
      </c>
      <c r="F27" s="100">
        <v>1.2</v>
      </c>
      <c r="G27" s="100">
        <v>2</v>
      </c>
      <c r="H27" s="100" t="s">
        <v>176</v>
      </c>
      <c r="I27" s="100" t="s">
        <v>176</v>
      </c>
      <c r="J27" s="100">
        <v>0.2</v>
      </c>
      <c r="K27" s="143" t="s">
        <v>175</v>
      </c>
      <c r="L27" s="160">
        <v>1.9</v>
      </c>
      <c r="M27" s="160">
        <v>1.9</v>
      </c>
      <c r="N27" s="116" t="s">
        <v>176</v>
      </c>
      <c r="O27" s="139" t="s">
        <v>436</v>
      </c>
      <c r="P27" s="161">
        <v>2.1</v>
      </c>
      <c r="Q27" s="161">
        <v>3.3</v>
      </c>
      <c r="R27" s="110" t="s">
        <v>176</v>
      </c>
      <c r="S27" s="146" t="s">
        <v>435</v>
      </c>
      <c r="T27" s="163" t="s">
        <v>175</v>
      </c>
      <c r="U27" s="163" t="s">
        <v>175</v>
      </c>
      <c r="V27" s="150" t="s">
        <v>176</v>
      </c>
      <c r="W27" s="133" t="s">
        <v>175</v>
      </c>
      <c r="X27" s="133" t="s">
        <v>175</v>
      </c>
      <c r="Y27" s="133" t="s">
        <v>175</v>
      </c>
      <c r="Z27" s="133" t="s">
        <v>175</v>
      </c>
      <c r="AA27" s="133" t="s">
        <v>174</v>
      </c>
      <c r="AB27" s="133" t="s">
        <v>175</v>
      </c>
    </row>
    <row r="28" spans="1:29" s="129" customFormat="1" ht="102" x14ac:dyDescent="0.2">
      <c r="A28" s="55">
        <v>44300</v>
      </c>
      <c r="B28" s="118" t="s">
        <v>11</v>
      </c>
      <c r="C28" s="118" t="s">
        <v>102</v>
      </c>
      <c r="D28" s="121" t="s">
        <v>377</v>
      </c>
      <c r="E28" s="120" t="s">
        <v>356</v>
      </c>
      <c r="F28" s="99">
        <v>1</v>
      </c>
      <c r="G28" s="99">
        <v>1.5</v>
      </c>
      <c r="H28" s="99">
        <v>0</v>
      </c>
      <c r="I28" s="99" t="s">
        <v>176</v>
      </c>
      <c r="J28" s="99">
        <v>0</v>
      </c>
      <c r="K28" s="141" t="s">
        <v>378</v>
      </c>
      <c r="L28" s="125" t="s">
        <v>175</v>
      </c>
      <c r="M28" s="125" t="s">
        <v>175</v>
      </c>
      <c r="N28" s="115" t="s">
        <v>175</v>
      </c>
      <c r="O28" s="138" t="s">
        <v>379</v>
      </c>
      <c r="P28" s="162" t="s">
        <v>175</v>
      </c>
      <c r="Q28" s="162" t="s">
        <v>175</v>
      </c>
      <c r="R28" s="109" t="s">
        <v>175</v>
      </c>
      <c r="S28" s="144" t="s">
        <v>379</v>
      </c>
      <c r="T28" s="104" t="s">
        <v>175</v>
      </c>
      <c r="U28" s="104" t="s">
        <v>175</v>
      </c>
      <c r="V28" s="148" t="s">
        <v>176</v>
      </c>
      <c r="W28" s="128" t="s">
        <v>175</v>
      </c>
      <c r="X28" s="128" t="s">
        <v>175</v>
      </c>
      <c r="Y28" s="128" t="s">
        <v>175</v>
      </c>
      <c r="Z28" s="128" t="s">
        <v>175</v>
      </c>
      <c r="AA28" s="128" t="s">
        <v>175</v>
      </c>
      <c r="AB28" s="128" t="s">
        <v>175</v>
      </c>
    </row>
    <row r="29" spans="1:29" s="5" customFormat="1" ht="216.75" x14ac:dyDescent="0.2">
      <c r="A29" s="55">
        <v>44300</v>
      </c>
      <c r="B29" s="118" t="s">
        <v>42</v>
      </c>
      <c r="C29" s="118" t="s">
        <v>103</v>
      </c>
      <c r="D29" s="121" t="s">
        <v>380</v>
      </c>
      <c r="E29" s="120" t="s">
        <v>356</v>
      </c>
      <c r="F29" s="99" t="s">
        <v>175</v>
      </c>
      <c r="G29" s="99" t="s">
        <v>175</v>
      </c>
      <c r="H29" s="99" t="s">
        <v>175</v>
      </c>
      <c r="I29" s="99" t="s">
        <v>175</v>
      </c>
      <c r="J29" s="99" t="s">
        <v>175</v>
      </c>
      <c r="K29" s="141" t="s">
        <v>381</v>
      </c>
      <c r="L29" s="125" t="s">
        <v>175</v>
      </c>
      <c r="M29" s="125" t="s">
        <v>175</v>
      </c>
      <c r="N29" s="115" t="s">
        <v>175</v>
      </c>
      <c r="O29" s="138" t="s">
        <v>175</v>
      </c>
      <c r="P29" s="162" t="s">
        <v>175</v>
      </c>
      <c r="Q29" s="162" t="s">
        <v>175</v>
      </c>
      <c r="R29" s="109" t="s">
        <v>175</v>
      </c>
      <c r="S29" s="144" t="s">
        <v>175</v>
      </c>
      <c r="T29" s="104" t="s">
        <v>175</v>
      </c>
      <c r="U29" s="104" t="s">
        <v>175</v>
      </c>
      <c r="V29" s="148" t="s">
        <v>175</v>
      </c>
      <c r="W29" s="128" t="s">
        <v>175</v>
      </c>
      <c r="X29" s="128" t="s">
        <v>175</v>
      </c>
      <c r="Y29" s="128" t="s">
        <v>175</v>
      </c>
      <c r="Z29" s="128" t="s">
        <v>175</v>
      </c>
      <c r="AA29" s="128" t="s">
        <v>175</v>
      </c>
      <c r="AB29" s="128" t="s">
        <v>175</v>
      </c>
    </row>
    <row r="30" spans="1:29" s="5" customFormat="1" ht="38.25" x14ac:dyDescent="0.2">
      <c r="A30" s="55">
        <v>44234</v>
      </c>
      <c r="B30" s="118" t="s">
        <v>42</v>
      </c>
      <c r="C30" s="118" t="s">
        <v>85</v>
      </c>
      <c r="D30" s="119" t="s">
        <v>402</v>
      </c>
      <c r="E30" s="120" t="s">
        <v>356</v>
      </c>
      <c r="F30" s="99">
        <v>0.8</v>
      </c>
      <c r="G30" s="99">
        <v>2.4</v>
      </c>
      <c r="H30" s="99" t="s">
        <v>176</v>
      </c>
      <c r="I30" s="99" t="s">
        <v>176</v>
      </c>
      <c r="J30" s="99" t="s">
        <v>176</v>
      </c>
      <c r="K30" s="141" t="s">
        <v>176</v>
      </c>
      <c r="L30" s="125">
        <v>2.5</v>
      </c>
      <c r="M30" s="125">
        <v>2.5</v>
      </c>
      <c r="N30" s="115" t="s">
        <v>176</v>
      </c>
      <c r="O30" s="138" t="s">
        <v>176</v>
      </c>
      <c r="P30" s="162">
        <v>2.5</v>
      </c>
      <c r="Q30" s="162">
        <v>2.5</v>
      </c>
      <c r="R30" s="109" t="s">
        <v>176</v>
      </c>
      <c r="S30" s="144" t="s">
        <v>176</v>
      </c>
      <c r="T30" s="104">
        <v>2.5</v>
      </c>
      <c r="U30" s="104">
        <v>2.5</v>
      </c>
      <c r="V30" s="148" t="s">
        <v>176</v>
      </c>
      <c r="W30" s="128" t="s">
        <v>175</v>
      </c>
      <c r="X30" s="128" t="s">
        <v>175</v>
      </c>
      <c r="Y30" s="128" t="s">
        <v>175</v>
      </c>
      <c r="Z30" s="128" t="s">
        <v>175</v>
      </c>
      <c r="AA30" s="128" t="s">
        <v>175</v>
      </c>
      <c r="AB30" s="133" t="s">
        <v>175</v>
      </c>
    </row>
    <row r="31" spans="1:29" s="5" customFormat="1" x14ac:dyDescent="0.2">
      <c r="A31" s="55">
        <v>44300</v>
      </c>
      <c r="B31" s="118" t="s">
        <v>24</v>
      </c>
      <c r="C31" s="118" t="s">
        <v>109</v>
      </c>
      <c r="D31" s="121" t="s">
        <v>382</v>
      </c>
      <c r="E31" s="120" t="s">
        <v>360</v>
      </c>
      <c r="F31" s="99">
        <v>1</v>
      </c>
      <c r="G31" s="99">
        <v>2</v>
      </c>
      <c r="H31" s="99" t="s">
        <v>175</v>
      </c>
      <c r="I31" s="99" t="s">
        <v>175</v>
      </c>
      <c r="J31" s="99" t="s">
        <v>175</v>
      </c>
      <c r="K31" s="141" t="s">
        <v>175</v>
      </c>
      <c r="L31" s="125">
        <v>3.3</v>
      </c>
      <c r="M31" s="125">
        <v>3.3</v>
      </c>
      <c r="N31" s="115" t="s">
        <v>175</v>
      </c>
      <c r="O31" s="138" t="s">
        <v>175</v>
      </c>
      <c r="P31" s="162">
        <v>3.3</v>
      </c>
      <c r="Q31" s="162">
        <v>3.3</v>
      </c>
      <c r="R31" s="109" t="s">
        <v>175</v>
      </c>
      <c r="S31" s="144" t="s">
        <v>175</v>
      </c>
      <c r="T31" s="104" t="s">
        <v>175</v>
      </c>
      <c r="U31" s="104" t="s">
        <v>175</v>
      </c>
      <c r="V31" s="148" t="s">
        <v>175</v>
      </c>
      <c r="W31" s="128" t="s">
        <v>175</v>
      </c>
      <c r="X31" s="128" t="s">
        <v>175</v>
      </c>
      <c r="Y31" s="128" t="s">
        <v>175</v>
      </c>
      <c r="Z31" s="128" t="s">
        <v>175</v>
      </c>
      <c r="AA31" s="128" t="s">
        <v>174</v>
      </c>
      <c r="AB31" s="128" t="s">
        <v>175</v>
      </c>
    </row>
    <row r="32" spans="1:29" s="5" customFormat="1" x14ac:dyDescent="0.2">
      <c r="A32" s="55">
        <v>44300</v>
      </c>
      <c r="B32" s="118" t="s">
        <v>24</v>
      </c>
      <c r="C32" s="118" t="s">
        <v>109</v>
      </c>
      <c r="D32" s="121" t="s">
        <v>383</v>
      </c>
      <c r="E32" s="120" t="s">
        <v>356</v>
      </c>
      <c r="F32" s="99">
        <v>1</v>
      </c>
      <c r="G32" s="99">
        <v>2</v>
      </c>
      <c r="H32" s="99">
        <v>1</v>
      </c>
      <c r="I32" s="99" t="s">
        <v>175</v>
      </c>
      <c r="J32" s="99" t="s">
        <v>175</v>
      </c>
      <c r="K32" s="141" t="s">
        <v>175</v>
      </c>
      <c r="L32" s="125">
        <f>1/400*1000</f>
        <v>2.5</v>
      </c>
      <c r="M32" s="125">
        <f>1/100*1000</f>
        <v>10</v>
      </c>
      <c r="N32" s="115" t="s">
        <v>175</v>
      </c>
      <c r="O32" s="138" t="s">
        <v>175</v>
      </c>
      <c r="P32" s="162">
        <f>1/400*1000</f>
        <v>2.5</v>
      </c>
      <c r="Q32" s="162">
        <f>1/300*1000</f>
        <v>3.3333333333333335</v>
      </c>
      <c r="R32" s="109" t="s">
        <v>175</v>
      </c>
      <c r="S32" s="144" t="s">
        <v>175</v>
      </c>
      <c r="T32" s="104" t="s">
        <v>175</v>
      </c>
      <c r="U32" s="104" t="s">
        <v>175</v>
      </c>
      <c r="V32" s="148" t="s">
        <v>175</v>
      </c>
      <c r="W32" s="128" t="s">
        <v>174</v>
      </c>
      <c r="X32" s="128" t="s">
        <v>175</v>
      </c>
      <c r="Y32" s="128" t="s">
        <v>175</v>
      </c>
      <c r="Z32" s="128" t="s">
        <v>175</v>
      </c>
      <c r="AA32" s="128" t="s">
        <v>174</v>
      </c>
      <c r="AB32" s="128" t="s">
        <v>174</v>
      </c>
    </row>
    <row r="33" spans="1:30" s="5" customFormat="1" ht="25.5" x14ac:dyDescent="0.2">
      <c r="A33" s="55">
        <v>44301</v>
      </c>
      <c r="B33" s="118" t="s">
        <v>48</v>
      </c>
      <c r="C33" s="118" t="s">
        <v>70</v>
      </c>
      <c r="D33" s="121" t="s">
        <v>384</v>
      </c>
      <c r="E33" s="120" t="s">
        <v>360</v>
      </c>
      <c r="F33" s="99" t="s">
        <v>175</v>
      </c>
      <c r="G33" s="99" t="s">
        <v>175</v>
      </c>
      <c r="H33" s="99" t="s">
        <v>175</v>
      </c>
      <c r="I33" s="99" t="s">
        <v>175</v>
      </c>
      <c r="J33" s="99" t="s">
        <v>175</v>
      </c>
      <c r="K33" s="141" t="s">
        <v>175</v>
      </c>
      <c r="L33" s="125" t="s">
        <v>175</v>
      </c>
      <c r="M33" s="125" t="s">
        <v>175</v>
      </c>
      <c r="N33" s="125" t="s">
        <v>175</v>
      </c>
      <c r="O33" s="138" t="s">
        <v>175</v>
      </c>
      <c r="P33" s="162">
        <f>1/500*1000</f>
        <v>2</v>
      </c>
      <c r="Q33" s="162">
        <f>1/200*1000</f>
        <v>5</v>
      </c>
      <c r="R33" s="109">
        <f>1/250*1000</f>
        <v>4</v>
      </c>
      <c r="S33" s="144" t="s">
        <v>385</v>
      </c>
      <c r="T33" s="102" t="s">
        <v>175</v>
      </c>
      <c r="U33" s="102" t="s">
        <v>175</v>
      </c>
      <c r="V33" s="148" t="s">
        <v>175</v>
      </c>
      <c r="W33" s="128" t="s">
        <v>175</v>
      </c>
      <c r="X33" s="128" t="s">
        <v>175</v>
      </c>
      <c r="Y33" s="128" t="s">
        <v>175</v>
      </c>
      <c r="Z33" s="128" t="s">
        <v>175</v>
      </c>
      <c r="AA33" s="128" t="s">
        <v>175</v>
      </c>
      <c r="AB33" s="128" t="s">
        <v>175</v>
      </c>
    </row>
    <row r="34" spans="1:30" s="129" customFormat="1" ht="25.5" x14ac:dyDescent="0.2">
      <c r="A34" s="55">
        <v>44301</v>
      </c>
      <c r="B34" s="118" t="s">
        <v>48</v>
      </c>
      <c r="C34" s="118" t="s">
        <v>70</v>
      </c>
      <c r="D34" s="121" t="s">
        <v>386</v>
      </c>
      <c r="E34" s="120" t="s">
        <v>356</v>
      </c>
      <c r="F34" s="99">
        <v>1.5</v>
      </c>
      <c r="G34" s="99">
        <v>2</v>
      </c>
      <c r="H34" s="99">
        <v>1</v>
      </c>
      <c r="I34" s="99" t="s">
        <v>175</v>
      </c>
      <c r="J34" s="99" t="s">
        <v>175</v>
      </c>
      <c r="K34" s="141" t="s">
        <v>175</v>
      </c>
      <c r="L34" s="125">
        <v>2</v>
      </c>
      <c r="M34" s="125">
        <v>4</v>
      </c>
      <c r="N34" s="115"/>
      <c r="O34" s="138">
        <v>5</v>
      </c>
      <c r="P34" s="162">
        <v>2</v>
      </c>
      <c r="Q34" s="162">
        <v>2</v>
      </c>
      <c r="R34" s="109">
        <v>4</v>
      </c>
      <c r="S34" s="144"/>
      <c r="T34" s="104">
        <v>2</v>
      </c>
      <c r="U34" s="104" t="s">
        <v>175</v>
      </c>
      <c r="V34" s="148" t="s">
        <v>175</v>
      </c>
      <c r="W34" s="128" t="s">
        <v>174</v>
      </c>
      <c r="X34" s="128" t="s">
        <v>175</v>
      </c>
      <c r="Y34" s="128" t="s">
        <v>174</v>
      </c>
      <c r="Z34" s="128" t="s">
        <v>174</v>
      </c>
      <c r="AA34" s="128" t="s">
        <v>175</v>
      </c>
      <c r="AB34" s="128" t="s">
        <v>175</v>
      </c>
    </row>
    <row r="35" spans="1:30" s="130" customFormat="1" ht="165.75" x14ac:dyDescent="0.2">
      <c r="A35" s="55">
        <v>44300</v>
      </c>
      <c r="B35" s="118" t="s">
        <v>9</v>
      </c>
      <c r="C35" s="118" t="s">
        <v>101</v>
      </c>
      <c r="D35" s="122" t="s">
        <v>409</v>
      </c>
      <c r="E35" s="120" t="s">
        <v>360</v>
      </c>
      <c r="F35" s="99" t="s">
        <v>175</v>
      </c>
      <c r="G35" s="99" t="s">
        <v>175</v>
      </c>
      <c r="H35" s="99" t="s">
        <v>176</v>
      </c>
      <c r="I35" s="99" t="s">
        <v>176</v>
      </c>
      <c r="J35" s="99" t="s">
        <v>176</v>
      </c>
      <c r="K35" s="141" t="s">
        <v>410</v>
      </c>
      <c r="L35" s="125">
        <f>1/250*1000</f>
        <v>4</v>
      </c>
      <c r="M35" s="125">
        <f>1/200*1000</f>
        <v>5</v>
      </c>
      <c r="N35" s="115" t="s">
        <v>176</v>
      </c>
      <c r="O35" s="138" t="s">
        <v>411</v>
      </c>
      <c r="P35" s="162">
        <v>4</v>
      </c>
      <c r="Q35" s="162">
        <v>5</v>
      </c>
      <c r="R35" s="109" t="s">
        <v>176</v>
      </c>
      <c r="S35" s="144" t="s">
        <v>411</v>
      </c>
      <c r="T35" s="104" t="s">
        <v>175</v>
      </c>
      <c r="U35" s="104" t="s">
        <v>175</v>
      </c>
      <c r="V35" s="148" t="s">
        <v>176</v>
      </c>
      <c r="W35" s="128" t="s">
        <v>175</v>
      </c>
      <c r="X35" s="128" t="s">
        <v>175</v>
      </c>
      <c r="Y35" s="128" t="s">
        <v>175</v>
      </c>
      <c r="Z35" s="128" t="s">
        <v>175</v>
      </c>
      <c r="AA35" s="128" t="s">
        <v>175</v>
      </c>
      <c r="AB35" s="128" t="s">
        <v>175</v>
      </c>
    </row>
    <row r="36" spans="1:30" s="130" customFormat="1" ht="76.5" x14ac:dyDescent="0.2">
      <c r="A36" s="55">
        <v>44300</v>
      </c>
      <c r="B36" s="118" t="s">
        <v>9</v>
      </c>
      <c r="C36" s="118" t="s">
        <v>101</v>
      </c>
      <c r="D36" s="122" t="s">
        <v>412</v>
      </c>
      <c r="E36" s="120" t="s">
        <v>360</v>
      </c>
      <c r="F36" s="99" t="s">
        <v>175</v>
      </c>
      <c r="G36" s="99" t="s">
        <v>175</v>
      </c>
      <c r="H36" s="99" t="s">
        <v>176</v>
      </c>
      <c r="I36" s="99" t="s">
        <v>176</v>
      </c>
      <c r="J36" s="99" t="s">
        <v>176</v>
      </c>
      <c r="K36" s="141" t="s">
        <v>410</v>
      </c>
      <c r="L36" s="125">
        <v>3.3</v>
      </c>
      <c r="M36" s="125">
        <v>3.3</v>
      </c>
      <c r="N36" s="115" t="s">
        <v>176</v>
      </c>
      <c r="O36" s="138" t="s">
        <v>413</v>
      </c>
      <c r="P36" s="162">
        <v>3.33</v>
      </c>
      <c r="Q36" s="162">
        <v>3.33</v>
      </c>
      <c r="R36" s="109" t="s">
        <v>176</v>
      </c>
      <c r="S36" s="144" t="s">
        <v>413</v>
      </c>
      <c r="T36" s="104" t="s">
        <v>175</v>
      </c>
      <c r="U36" s="104" t="s">
        <v>175</v>
      </c>
      <c r="V36" s="148" t="s">
        <v>176</v>
      </c>
      <c r="W36" s="128" t="s">
        <v>175</v>
      </c>
      <c r="X36" s="128" t="s">
        <v>175</v>
      </c>
      <c r="Y36" s="128" t="s">
        <v>175</v>
      </c>
      <c r="Z36" s="128" t="s">
        <v>175</v>
      </c>
      <c r="AA36" s="128" t="s">
        <v>175</v>
      </c>
      <c r="AB36" s="128" t="s">
        <v>174</v>
      </c>
    </row>
    <row r="37" spans="1:30" x14ac:dyDescent="0.2">
      <c r="AC37" s="12"/>
      <c r="AD37" s="12"/>
    </row>
    <row r="38" spans="1:30" x14ac:dyDescent="0.2">
      <c r="AC38" s="12"/>
      <c r="AD38" s="12"/>
    </row>
    <row r="39" spans="1:30" x14ac:dyDescent="0.2">
      <c r="AC39" s="12"/>
      <c r="AD39" s="12"/>
    </row>
    <row r="40" spans="1:30" x14ac:dyDescent="0.2">
      <c r="AC40" s="12"/>
      <c r="AD40" s="12"/>
    </row>
    <row r="41" spans="1:30" x14ac:dyDescent="0.2">
      <c r="AC41" s="12"/>
      <c r="AD41" s="12"/>
    </row>
    <row r="42" spans="1:30" x14ac:dyDescent="0.2">
      <c r="AC42" s="12"/>
      <c r="AD42" s="12"/>
    </row>
    <row r="43" spans="1:30" x14ac:dyDescent="0.2">
      <c r="AC43" s="12"/>
      <c r="AD43" s="12"/>
    </row>
    <row r="44" spans="1:30" x14ac:dyDescent="0.2">
      <c r="AC44" s="12"/>
      <c r="AD44" s="12"/>
    </row>
    <row r="45" spans="1:30" x14ac:dyDescent="0.2">
      <c r="AC45" s="12"/>
      <c r="AD45" s="12"/>
    </row>
    <row r="46" spans="1:30" x14ac:dyDescent="0.2">
      <c r="AC46" s="12"/>
      <c r="AD46" s="12"/>
    </row>
    <row r="47" spans="1:30" x14ac:dyDescent="0.2">
      <c r="AC47" s="12"/>
      <c r="AD47" s="12"/>
    </row>
    <row r="48" spans="1:30" x14ac:dyDescent="0.2">
      <c r="AC48" s="12"/>
      <c r="AD48" s="12"/>
    </row>
    <row r="49" spans="29:30" x14ac:dyDescent="0.2">
      <c r="AC49" s="12"/>
      <c r="AD49" s="12"/>
    </row>
    <row r="50" spans="29:30" x14ac:dyDescent="0.2">
      <c r="AC50" s="12"/>
      <c r="AD50" s="12"/>
    </row>
    <row r="51" spans="29:30" x14ac:dyDescent="0.2">
      <c r="AC51" s="12"/>
      <c r="AD51" s="12"/>
    </row>
    <row r="52" spans="29:30" x14ac:dyDescent="0.2">
      <c r="AC52" s="12"/>
      <c r="AD52" s="12"/>
    </row>
    <row r="53" spans="29:30" x14ac:dyDescent="0.2">
      <c r="AC53" s="12"/>
      <c r="AD53" s="12"/>
    </row>
    <row r="54" spans="29:30" x14ac:dyDescent="0.2">
      <c r="AC54" s="12"/>
      <c r="AD54" s="12"/>
    </row>
    <row r="55" spans="29:30" x14ac:dyDescent="0.2">
      <c r="AC55" s="12"/>
      <c r="AD55" s="12"/>
    </row>
    <row r="56" spans="29:30" x14ac:dyDescent="0.2">
      <c r="AC56" s="12"/>
      <c r="AD56" s="12"/>
    </row>
    <row r="57" spans="29:30" x14ac:dyDescent="0.2">
      <c r="AC57" s="12"/>
      <c r="AD57" s="12"/>
    </row>
    <row r="58" spans="29:30" x14ac:dyDescent="0.2">
      <c r="AC58" s="12"/>
      <c r="AD58" s="12"/>
    </row>
    <row r="59" spans="29:30" x14ac:dyDescent="0.2">
      <c r="AC59" s="12"/>
      <c r="AD59" s="12"/>
    </row>
    <row r="60" spans="29:30" x14ac:dyDescent="0.2">
      <c r="AC60" s="12"/>
      <c r="AD60" s="12"/>
    </row>
    <row r="61" spans="29:30" x14ac:dyDescent="0.2">
      <c r="AC61" s="12"/>
      <c r="AD61" s="12"/>
    </row>
    <row r="62" spans="29:30" x14ac:dyDescent="0.2">
      <c r="AC62" s="12"/>
      <c r="AD62" s="12"/>
    </row>
    <row r="63" spans="29:30" x14ac:dyDescent="0.2">
      <c r="AC63" s="12"/>
      <c r="AD63" s="12"/>
    </row>
    <row r="64" spans="29:30" x14ac:dyDescent="0.2">
      <c r="AC64" s="12"/>
      <c r="AD64" s="12"/>
    </row>
    <row r="65" spans="29:30" x14ac:dyDescent="0.2">
      <c r="AC65" s="12"/>
      <c r="AD65" s="12"/>
    </row>
    <row r="66" spans="29:30" x14ac:dyDescent="0.2">
      <c r="AC66" s="12"/>
      <c r="AD66" s="12"/>
    </row>
    <row r="67" spans="29:30" x14ac:dyDescent="0.2">
      <c r="AC67" s="12"/>
      <c r="AD67" s="12"/>
    </row>
    <row r="68" spans="29:30" x14ac:dyDescent="0.2">
      <c r="AC68" s="12"/>
      <c r="AD68" s="12"/>
    </row>
    <row r="69" spans="29:30" x14ac:dyDescent="0.2">
      <c r="AC69" s="12"/>
      <c r="AD69" s="12"/>
    </row>
    <row r="70" spans="29:30" x14ac:dyDescent="0.2">
      <c r="AC70" s="12"/>
      <c r="AD70" s="12"/>
    </row>
    <row r="71" spans="29:30" x14ac:dyDescent="0.2">
      <c r="AC71" s="12"/>
      <c r="AD71" s="12"/>
    </row>
    <row r="72" spans="29:30" x14ac:dyDescent="0.2">
      <c r="AC72" s="12"/>
      <c r="AD72" s="12"/>
    </row>
    <row r="73" spans="29:30" x14ac:dyDescent="0.2">
      <c r="AC73" s="12"/>
      <c r="AD73" s="12"/>
    </row>
    <row r="74" spans="29:30" x14ac:dyDescent="0.2">
      <c r="AC74" s="12"/>
      <c r="AD74" s="12"/>
    </row>
    <row r="75" spans="29:30" x14ac:dyDescent="0.2">
      <c r="AC75" s="12"/>
      <c r="AD75" s="12"/>
    </row>
    <row r="76" spans="29:30" x14ac:dyDescent="0.2">
      <c r="AC76" s="12"/>
      <c r="AD76" s="12"/>
    </row>
  </sheetData>
  <autoFilter ref="A2:AB36" xr:uid="{4895FA98-7F90-4BC6-B7DF-BF665D819CE0}">
    <sortState xmlns:xlrd2="http://schemas.microsoft.com/office/spreadsheetml/2017/richdata2" ref="A3:AB36">
      <sortCondition ref="C2:C36"/>
    </sortState>
  </autoFilter>
  <mergeCells count="6">
    <mergeCell ref="A1:E1"/>
    <mergeCell ref="W1:AB1"/>
    <mergeCell ref="F1:K1"/>
    <mergeCell ref="L1:O1"/>
    <mergeCell ref="P1:S1"/>
    <mergeCell ref="T1:V1"/>
  </mergeCells>
  <hyperlinks>
    <hyperlink ref="D6" r:id="rId1" xr:uid="{9A9A3942-DFA0-44BC-ABF0-F0FAD07B940B}"/>
    <hyperlink ref="D10" r:id="rId2" display="C-W West Berkeley Commercial District Provisions" xr:uid="{025DE655-9BA5-4DE1-8E7B-E485E5048026}"/>
    <hyperlink ref="D9" r:id="rId3" location="23E.76.080" display="https://www.codepublishing.com/CA/Berkeley/html/Berkeley23E/Berkeley23E76/Berkeley23E76080.html - 23E.76.080" xr:uid="{BA423B53-58A0-4B4B-A496-51F356B71586}"/>
    <hyperlink ref="D8" r:id="rId4" location="23E.80.080" display="MIXED USE-LIGHT INDUSTRIAL DISTRICT" xr:uid="{5839CBDE-A246-4871-BACB-6CC5F0EC4A6B}"/>
    <hyperlink ref="D7" r:id="rId5" location="23E.84.080" display="https://www.codepublishing.com/CA/Berkeley/html/Berkeley23E/Berkeley23E84/Berkeley23E84080.html - 23E.84.080" xr:uid="{E8A4BA30-9001-4860-A559-2101E6DCEAF7}"/>
    <hyperlink ref="D11" r:id="rId6" xr:uid="{9D7D543F-4DF5-4361-91B9-8E91472A56D8}"/>
    <hyperlink ref="D14" r:id="rId7" location="!/Concord18/Concord1845.html" xr:uid="{9D36A50B-0CA9-4FEF-97F1-4F4822F76361}"/>
    <hyperlink ref="D15" r:id="rId8" location="!/Fairfield25/Fairfield2509.html" xr:uid="{FD675B56-6867-4BF3-ADE2-03F21D4BA563}"/>
    <hyperlink ref="D19" r:id="rId9" display="Parking Exempt Overlay District" xr:uid="{1BC71572-4E29-4BD4-AFD6-95647C56ACE8}"/>
    <hyperlink ref="D25" r:id="rId10" location="!/SanCarlos18/SanCarlos1820.html" xr:uid="{AB93FF06-7529-4695-A87F-081525334F6F}"/>
    <hyperlink ref="D28" r:id="rId11" xr:uid="{328DCB8C-CA69-4111-A067-E4B80AFDE881}"/>
    <hyperlink ref="D31" r:id="rId12" xr:uid="{00E71881-E05A-4998-90D2-DD293FFD4F6B}"/>
    <hyperlink ref="D32" r:id="rId13" xr:uid="{D46ED698-E833-4A3E-8643-5B4382EEAED2}"/>
    <hyperlink ref="D34" r:id="rId14" xr:uid="{CE9F926D-94F6-4B82-8E82-9CA8C68EA888}"/>
    <hyperlink ref="D5" r:id="rId15" xr:uid="{7E93F1C1-4625-4025-823D-54780D9242C7}"/>
    <hyperlink ref="D24" r:id="rId16" xr:uid="{7094B6D2-F49C-4D0B-819C-6F4D46430E03}"/>
    <hyperlink ref="D20" r:id="rId17" xr:uid="{07ADC1A5-B8E7-42A8-9D3B-A4A864CEB7C9}"/>
    <hyperlink ref="D3" r:id="rId18" xr:uid="{96526C56-77DA-4678-939D-A8E845D12B34}"/>
    <hyperlink ref="D17" r:id="rId19" xr:uid="{AA9870C0-A485-46B4-B141-2C3EE3D468F8}"/>
    <hyperlink ref="D23" r:id="rId20" xr:uid="{D9172045-882A-4F29-B6A3-A2BE18E83FE4}"/>
    <hyperlink ref="D27" r:id="rId21" xr:uid="{277A2630-FAE9-4B55-A8BC-6D6368BA81F6}"/>
    <hyperlink ref="D12" r:id="rId22" xr:uid="{141130A7-DD4F-47FA-AC8A-6683D3F1D358}"/>
    <hyperlink ref="D18" r:id="rId23" location="!/Millbrae10/Millbrae1005.html" xr:uid="{4977CD64-A5C0-4215-865F-D4EFA03561C0}"/>
  </hyperlinks>
  <pageMargins left="0.25" right="0.25" top="0.75" bottom="0.75" header="0.3" footer="0.3"/>
  <pageSetup scale="65" orientation="portrait" r:id="rId24"/>
  <headerFooter>
    <oddHeader>&amp;RBay Area Parking Standard Survey: Special Districts
March 3, 2012</oddHeader>
  </headerFooter>
  <colBreaks count="1" manualBreakCount="1">
    <brk id="15" max="1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7"/>
  <sheetViews>
    <sheetView zoomScale="130" zoomScaleNormal="130" zoomScaleSheetLayoutView="115" zoomScalePageLayoutView="85" workbookViewId="0">
      <selection activeCell="H26" sqref="H26"/>
    </sheetView>
  </sheetViews>
  <sheetFormatPr defaultColWidth="9.140625" defaultRowHeight="12.75" x14ac:dyDescent="0.2"/>
  <cols>
    <col min="1" max="16384" width="9.140625" style="38"/>
  </cols>
  <sheetData>
    <row r="1" spans="1:33" x14ac:dyDescent="0.2">
      <c r="A1" s="48" t="s">
        <v>418</v>
      </c>
      <c r="B1" s="49"/>
      <c r="C1" s="50"/>
      <c r="D1" s="50"/>
      <c r="E1" s="50"/>
      <c r="F1" s="50"/>
      <c r="G1" s="50"/>
      <c r="H1" s="51"/>
      <c r="I1" s="52"/>
      <c r="J1" s="51"/>
      <c r="K1" s="51"/>
      <c r="L1" s="51"/>
    </row>
    <row r="2" spans="1:33" x14ac:dyDescent="0.2">
      <c r="A2" s="9" t="s">
        <v>419</v>
      </c>
      <c r="B2" s="10"/>
      <c r="C2" s="8" t="s">
        <v>420</v>
      </c>
      <c r="D2" s="9"/>
      <c r="E2" s="9"/>
      <c r="F2" s="9"/>
      <c r="G2" s="9"/>
      <c r="H2" s="202" t="s">
        <v>421</v>
      </c>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row>
    <row r="3" spans="1:33" x14ac:dyDescent="0.2">
      <c r="A3" s="9" t="s">
        <v>422</v>
      </c>
      <c r="B3" s="10"/>
      <c r="C3" s="53" t="s">
        <v>423</v>
      </c>
      <c r="D3" s="9"/>
      <c r="E3" s="9"/>
      <c r="F3" s="9"/>
      <c r="G3" s="9"/>
      <c r="H3" s="202" t="s">
        <v>424</v>
      </c>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row>
    <row r="4" spans="1:33" x14ac:dyDescent="0.2">
      <c r="A4" s="9"/>
      <c r="B4" s="10"/>
      <c r="C4" s="9" t="s">
        <v>425</v>
      </c>
      <c r="D4" s="9"/>
      <c r="E4" s="9"/>
      <c r="F4" s="9"/>
      <c r="G4" s="9"/>
      <c r="H4" s="11"/>
      <c r="I4" s="12"/>
      <c r="J4" s="11"/>
    </row>
    <row r="5" spans="1:33" x14ac:dyDescent="0.2">
      <c r="A5" s="9"/>
      <c r="B5" s="10"/>
      <c r="C5" s="9" t="s">
        <v>426</v>
      </c>
      <c r="D5" s="9"/>
      <c r="E5" s="9"/>
      <c r="F5" s="9"/>
      <c r="G5" s="9"/>
      <c r="H5" s="11"/>
      <c r="I5" s="12"/>
      <c r="J5" s="11"/>
    </row>
    <row r="6" spans="1:33" x14ac:dyDescent="0.2">
      <c r="A6" s="9"/>
      <c r="B6" s="10"/>
      <c r="C6" s="9" t="s">
        <v>427</v>
      </c>
      <c r="D6" s="9"/>
      <c r="E6" s="9"/>
      <c r="F6" s="9"/>
      <c r="G6" s="9"/>
      <c r="H6" s="11"/>
      <c r="I6" s="12"/>
      <c r="J6" s="11"/>
    </row>
    <row r="7" spans="1:33" x14ac:dyDescent="0.2">
      <c r="A7" s="9"/>
      <c r="B7" s="10"/>
      <c r="C7" s="9" t="s">
        <v>428</v>
      </c>
      <c r="D7" s="9"/>
      <c r="E7" s="9"/>
      <c r="F7" s="9"/>
      <c r="G7" s="9"/>
      <c r="H7" s="11"/>
      <c r="I7" s="12"/>
      <c r="J7" s="11"/>
    </row>
  </sheetData>
  <mergeCells count="2">
    <mergeCell ref="H2:AG2"/>
    <mergeCell ref="H3:AG3"/>
  </mergeCells>
  <pageMargins left="0.7" right="0.7" top="0.75" bottom="0.75" header="0.3" footer="0.3"/>
  <pageSetup scale="65" orientation="portrait" r:id="rId1"/>
  <headerFooter>
    <oddHeader>&amp;RBay Area Parking Standard Survey: Key
March 3, 2012</oddHeader>
  </headerFooter>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308EF-8777-4B2C-B955-14B221D73E01}">
  <sheetPr filterMode="1"/>
  <dimension ref="A1:D103"/>
  <sheetViews>
    <sheetView topLeftCell="A61" workbookViewId="0">
      <selection activeCell="O75" sqref="O75"/>
    </sheetView>
  </sheetViews>
  <sheetFormatPr defaultColWidth="9.140625" defaultRowHeight="12.75" x14ac:dyDescent="0.2"/>
  <cols>
    <col min="1" max="1" width="10.7109375" style="38" bestFit="1" customWidth="1"/>
    <col min="2" max="2" width="15.140625" style="38" bestFit="1" customWidth="1"/>
    <col min="3" max="3" width="15.140625" style="38" customWidth="1"/>
    <col min="4" max="4" width="16.7109375" style="42" bestFit="1" customWidth="1"/>
    <col min="5" max="16384" width="9.140625" style="38"/>
  </cols>
  <sheetData>
    <row r="1" spans="1:4" x14ac:dyDescent="0.2">
      <c r="A1" s="39" t="s">
        <v>0</v>
      </c>
      <c r="B1" s="39" t="s">
        <v>1</v>
      </c>
      <c r="C1" s="39" t="s">
        <v>2</v>
      </c>
      <c r="D1" s="40" t="s">
        <v>3</v>
      </c>
    </row>
    <row r="2" spans="1:4" hidden="1" x14ac:dyDescent="0.2">
      <c r="A2" s="38" t="s">
        <v>4</v>
      </c>
      <c r="B2" s="38" t="s">
        <v>5</v>
      </c>
      <c r="C2" s="38" t="s">
        <v>6</v>
      </c>
      <c r="D2" s="41">
        <v>18937</v>
      </c>
    </row>
    <row r="3" spans="1:4" hidden="1" x14ac:dyDescent="0.2">
      <c r="A3" s="38" t="s">
        <v>4</v>
      </c>
      <c r="B3" s="38" t="s">
        <v>7</v>
      </c>
      <c r="C3" s="38" t="s">
        <v>6</v>
      </c>
      <c r="D3" s="41">
        <v>11453</v>
      </c>
    </row>
    <row r="4" spans="1:4" hidden="1" x14ac:dyDescent="0.2">
      <c r="A4" s="38" t="s">
        <v>4</v>
      </c>
      <c r="B4" s="38" t="s">
        <v>8</v>
      </c>
      <c r="C4" s="38" t="s">
        <v>6</v>
      </c>
      <c r="D4" s="41">
        <v>73637</v>
      </c>
    </row>
    <row r="5" spans="1:4" hidden="1" x14ac:dyDescent="0.2">
      <c r="A5" s="38" t="s">
        <v>9</v>
      </c>
      <c r="B5" s="38" t="s">
        <v>10</v>
      </c>
      <c r="C5" s="38" t="s">
        <v>6</v>
      </c>
      <c r="D5" s="41">
        <v>65118</v>
      </c>
    </row>
    <row r="6" spans="1:4" hidden="1" x14ac:dyDescent="0.2">
      <c r="A6" s="38" t="s">
        <v>11</v>
      </c>
      <c r="B6" s="38" t="s">
        <v>12</v>
      </c>
      <c r="C6" s="38" t="s">
        <v>6</v>
      </c>
      <c r="D6" s="41">
        <v>14674</v>
      </c>
    </row>
    <row r="7" spans="1:4" hidden="1" x14ac:dyDescent="0.2">
      <c r="A7" s="38" t="s">
        <v>9</v>
      </c>
      <c r="B7" s="38" t="s">
        <v>13</v>
      </c>
      <c r="C7" s="38" t="s">
        <v>6</v>
      </c>
      <c r="D7" s="41">
        <v>11337</v>
      </c>
    </row>
    <row r="8" spans="1:4" hidden="1" x14ac:dyDescent="0.2">
      <c r="A8" s="38" t="s">
        <v>9</v>
      </c>
      <c r="B8" s="38" t="s">
        <v>14</v>
      </c>
      <c r="C8" s="38" t="s">
        <v>6</v>
      </c>
      <c r="D8" s="41">
        <v>43876</v>
      </c>
    </row>
    <row r="9" spans="1:4" hidden="1" x14ac:dyDescent="0.2">
      <c r="A9" s="38" t="s">
        <v>9</v>
      </c>
      <c r="B9" s="38" t="s">
        <v>15</v>
      </c>
      <c r="C9" s="38" t="s">
        <v>6</v>
      </c>
      <c r="D9" s="41">
        <v>31413</v>
      </c>
    </row>
    <row r="10" spans="1:4" hidden="1" x14ac:dyDescent="0.2">
      <c r="A10" s="38" t="s">
        <v>11</v>
      </c>
      <c r="B10" s="38" t="s">
        <v>16</v>
      </c>
      <c r="C10" s="38" t="s">
        <v>6</v>
      </c>
      <c r="D10" s="41">
        <v>2124</v>
      </c>
    </row>
    <row r="11" spans="1:4" hidden="1" x14ac:dyDescent="0.2">
      <c r="A11" s="38" t="s">
        <v>11</v>
      </c>
      <c r="B11" s="38" t="s">
        <v>17</v>
      </c>
      <c r="C11" s="38" t="s">
        <v>6</v>
      </c>
      <c r="D11" s="41">
        <v>10114</v>
      </c>
    </row>
    <row r="12" spans="1:4" hidden="1" x14ac:dyDescent="0.2">
      <c r="A12" s="38" t="s">
        <v>11</v>
      </c>
      <c r="B12" s="38" t="s">
        <v>18</v>
      </c>
      <c r="C12" s="38" t="s">
        <v>6</v>
      </c>
      <c r="D12" s="41">
        <v>7399</v>
      </c>
    </row>
    <row r="13" spans="1:4" hidden="1" x14ac:dyDescent="0.2">
      <c r="A13" s="38" t="s">
        <v>11</v>
      </c>
      <c r="B13" s="38" t="s">
        <v>19</v>
      </c>
      <c r="C13" s="38" t="s">
        <v>6</v>
      </c>
      <c r="D13" s="41">
        <v>12253</v>
      </c>
    </row>
    <row r="14" spans="1:4" hidden="1" x14ac:dyDescent="0.2">
      <c r="A14" s="38" t="s">
        <v>11</v>
      </c>
      <c r="B14" s="38" t="s">
        <v>20</v>
      </c>
      <c r="C14" s="38" t="s">
        <v>6</v>
      </c>
      <c r="D14" s="41">
        <v>2550</v>
      </c>
    </row>
    <row r="15" spans="1:4" hidden="1" x14ac:dyDescent="0.2">
      <c r="A15" s="38" t="s">
        <v>11</v>
      </c>
      <c r="B15" s="38" t="s">
        <v>21</v>
      </c>
      <c r="C15" s="38" t="s">
        <v>6</v>
      </c>
      <c r="D15" s="41">
        <v>12757</v>
      </c>
    </row>
    <row r="16" spans="1:4" hidden="1" x14ac:dyDescent="0.2">
      <c r="A16" s="38" t="s">
        <v>11</v>
      </c>
      <c r="B16" s="38" t="s">
        <v>22</v>
      </c>
      <c r="C16" s="38" t="s">
        <v>6</v>
      </c>
      <c r="D16" s="41">
        <v>7252</v>
      </c>
    </row>
    <row r="17" spans="1:4" hidden="1" x14ac:dyDescent="0.2">
      <c r="A17" s="38" t="s">
        <v>11</v>
      </c>
      <c r="B17" s="38" t="s">
        <v>23</v>
      </c>
      <c r="C17" s="38" t="s">
        <v>6</v>
      </c>
      <c r="D17" s="41">
        <v>9540</v>
      </c>
    </row>
    <row r="18" spans="1:4" hidden="1" x14ac:dyDescent="0.2">
      <c r="A18" s="38" t="s">
        <v>24</v>
      </c>
      <c r="B18" s="38" t="s">
        <v>25</v>
      </c>
      <c r="C18" s="38" t="s">
        <v>6</v>
      </c>
      <c r="D18" s="41">
        <v>4607</v>
      </c>
    </row>
    <row r="19" spans="1:4" hidden="1" x14ac:dyDescent="0.2">
      <c r="A19" s="38" t="s">
        <v>11</v>
      </c>
      <c r="B19" s="38" t="s">
        <v>26</v>
      </c>
      <c r="C19" s="38" t="s">
        <v>6</v>
      </c>
      <c r="D19" s="41">
        <v>68659</v>
      </c>
    </row>
    <row r="20" spans="1:4" hidden="1" x14ac:dyDescent="0.2">
      <c r="A20" s="38" t="s">
        <v>27</v>
      </c>
      <c r="B20" s="38" t="s">
        <v>28</v>
      </c>
      <c r="C20" s="38" t="s">
        <v>6</v>
      </c>
      <c r="D20" s="41">
        <v>20837</v>
      </c>
    </row>
    <row r="21" spans="1:4" hidden="1" x14ac:dyDescent="0.2">
      <c r="A21" s="38" t="s">
        <v>27</v>
      </c>
      <c r="B21" s="38" t="s">
        <v>29</v>
      </c>
      <c r="C21" s="38" t="s">
        <v>6</v>
      </c>
      <c r="D21" s="41">
        <v>5348</v>
      </c>
    </row>
    <row r="22" spans="1:4" hidden="1" x14ac:dyDescent="0.2">
      <c r="A22" s="38" t="s">
        <v>27</v>
      </c>
      <c r="B22" s="38" t="s">
        <v>30</v>
      </c>
      <c r="C22" s="38" t="s">
        <v>6</v>
      </c>
      <c r="D22" s="41">
        <v>6073</v>
      </c>
    </row>
    <row r="23" spans="1:4" hidden="1" x14ac:dyDescent="0.2">
      <c r="A23" s="38" t="s">
        <v>27</v>
      </c>
      <c r="B23" s="38" t="s">
        <v>31</v>
      </c>
      <c r="C23" s="38" t="s">
        <v>6</v>
      </c>
      <c r="D23" s="41">
        <v>2685</v>
      </c>
    </row>
    <row r="24" spans="1:4" hidden="1" x14ac:dyDescent="0.2">
      <c r="A24" s="38" t="s">
        <v>9</v>
      </c>
      <c r="B24" s="38" t="s">
        <v>32</v>
      </c>
      <c r="C24" s="38" t="s">
        <v>6</v>
      </c>
      <c r="D24" s="41">
        <v>25604</v>
      </c>
    </row>
    <row r="25" spans="1:4" hidden="1" x14ac:dyDescent="0.2">
      <c r="A25" s="38" t="s">
        <v>24</v>
      </c>
      <c r="B25" s="38" t="s">
        <v>33</v>
      </c>
      <c r="C25" s="38" t="s">
        <v>6</v>
      </c>
      <c r="D25" s="41">
        <v>7031</v>
      </c>
    </row>
    <row r="26" spans="1:4" hidden="1" x14ac:dyDescent="0.2">
      <c r="A26" s="38" t="s">
        <v>9</v>
      </c>
      <c r="B26" s="38" t="s">
        <v>34</v>
      </c>
      <c r="C26" s="38" t="s">
        <v>6</v>
      </c>
      <c r="D26" s="41">
        <v>37106</v>
      </c>
    </row>
    <row r="27" spans="1:4" hidden="1" x14ac:dyDescent="0.2">
      <c r="A27" s="38" t="s">
        <v>9</v>
      </c>
      <c r="B27" s="38" t="s">
        <v>35</v>
      </c>
      <c r="C27" s="38" t="s">
        <v>6</v>
      </c>
      <c r="D27" s="41">
        <v>42461</v>
      </c>
    </row>
    <row r="28" spans="1:4" hidden="1" x14ac:dyDescent="0.2">
      <c r="A28" s="38" t="s">
        <v>24</v>
      </c>
      <c r="B28" s="38" t="s">
        <v>36</v>
      </c>
      <c r="C28" s="38" t="s">
        <v>6</v>
      </c>
      <c r="D28" s="41">
        <v>1729</v>
      </c>
    </row>
    <row r="29" spans="1:4" hidden="1" x14ac:dyDescent="0.2">
      <c r="A29" s="38" t="s">
        <v>24</v>
      </c>
      <c r="B29" s="38" t="s">
        <v>37</v>
      </c>
      <c r="C29" s="38" t="s">
        <v>6</v>
      </c>
      <c r="D29" s="41">
        <v>33033</v>
      </c>
    </row>
    <row r="30" spans="1:4" hidden="1" x14ac:dyDescent="0.2">
      <c r="A30" s="38" t="s">
        <v>24</v>
      </c>
      <c r="B30" s="38" t="s">
        <v>38</v>
      </c>
      <c r="C30" s="38" t="s">
        <v>6</v>
      </c>
      <c r="D30" s="41">
        <v>12431</v>
      </c>
    </row>
    <row r="31" spans="1:4" hidden="1" x14ac:dyDescent="0.2">
      <c r="A31" s="38" t="s">
        <v>24</v>
      </c>
      <c r="B31" s="38" t="s">
        <v>39</v>
      </c>
      <c r="C31" s="38" t="s">
        <v>6</v>
      </c>
      <c r="D31" s="41">
        <v>11418</v>
      </c>
    </row>
    <row r="32" spans="1:4" hidden="1" x14ac:dyDescent="0.2">
      <c r="A32" s="38" t="s">
        <v>24</v>
      </c>
      <c r="B32" s="38" t="s">
        <v>40</v>
      </c>
      <c r="C32" s="38" t="s">
        <v>6</v>
      </c>
      <c r="D32" s="41">
        <v>38331</v>
      </c>
    </row>
    <row r="33" spans="1:4" hidden="1" x14ac:dyDescent="0.2">
      <c r="A33" s="38" t="s">
        <v>24</v>
      </c>
      <c r="B33" s="38" t="s">
        <v>41</v>
      </c>
      <c r="C33" s="38" t="s">
        <v>6</v>
      </c>
      <c r="D33" s="41">
        <v>5676</v>
      </c>
    </row>
    <row r="34" spans="1:4" hidden="1" x14ac:dyDescent="0.2">
      <c r="A34" s="38" t="s">
        <v>42</v>
      </c>
      <c r="B34" s="38" t="s">
        <v>43</v>
      </c>
      <c r="C34" s="38" t="s">
        <v>6</v>
      </c>
      <c r="D34" s="41">
        <v>7533</v>
      </c>
    </row>
    <row r="35" spans="1:4" hidden="1" x14ac:dyDescent="0.2">
      <c r="A35" s="38" t="s">
        <v>42</v>
      </c>
      <c r="B35" s="38" t="s">
        <v>44</v>
      </c>
      <c r="C35" s="38" t="s">
        <v>6</v>
      </c>
      <c r="D35" s="41">
        <v>12089</v>
      </c>
    </row>
    <row r="36" spans="1:4" hidden="1" x14ac:dyDescent="0.2">
      <c r="A36" s="38" t="s">
        <v>42</v>
      </c>
      <c r="B36" s="38" t="s">
        <v>42</v>
      </c>
      <c r="C36" s="38" t="s">
        <v>6</v>
      </c>
      <c r="D36" s="41">
        <v>11050</v>
      </c>
    </row>
    <row r="37" spans="1:4" hidden="1" x14ac:dyDescent="0.2">
      <c r="A37" s="38" t="s">
        <v>45</v>
      </c>
      <c r="B37" s="38" t="s">
        <v>46</v>
      </c>
      <c r="C37" s="38" t="s">
        <v>6</v>
      </c>
      <c r="D37" s="41">
        <v>19972</v>
      </c>
    </row>
    <row r="38" spans="1:4" hidden="1" x14ac:dyDescent="0.2">
      <c r="A38" s="38" t="s">
        <v>45</v>
      </c>
      <c r="B38" s="38" t="s">
        <v>47</v>
      </c>
      <c r="C38" s="38" t="s">
        <v>6</v>
      </c>
      <c r="D38" s="41">
        <v>9987</v>
      </c>
    </row>
    <row r="39" spans="1:4" hidden="1" x14ac:dyDescent="0.2">
      <c r="A39" s="38" t="s">
        <v>48</v>
      </c>
      <c r="B39" s="38" t="s">
        <v>49</v>
      </c>
      <c r="C39" s="38" t="s">
        <v>6</v>
      </c>
      <c r="D39" s="41">
        <v>59549</v>
      </c>
    </row>
    <row r="40" spans="1:4" hidden="1" x14ac:dyDescent="0.2">
      <c r="A40" s="38" t="s">
        <v>48</v>
      </c>
      <c r="B40" s="38" t="s">
        <v>50</v>
      </c>
      <c r="C40" s="38" t="s">
        <v>6</v>
      </c>
      <c r="D40" s="41">
        <v>30876</v>
      </c>
    </row>
    <row r="41" spans="1:4" hidden="1" x14ac:dyDescent="0.2">
      <c r="A41" s="38" t="s">
        <v>48</v>
      </c>
      <c r="B41" s="38" t="s">
        <v>51</v>
      </c>
      <c r="C41" s="38" t="s">
        <v>6</v>
      </c>
      <c r="D41" s="41">
        <v>8413</v>
      </c>
    </row>
    <row r="42" spans="1:4" hidden="1" x14ac:dyDescent="0.2">
      <c r="A42" s="38" t="s">
        <v>48</v>
      </c>
      <c r="B42" s="38" t="s">
        <v>52</v>
      </c>
      <c r="C42" s="38" t="s">
        <v>6</v>
      </c>
      <c r="D42" s="41">
        <v>31439</v>
      </c>
    </row>
    <row r="43" spans="1:4" hidden="1" x14ac:dyDescent="0.2">
      <c r="A43" s="38" t="s">
        <v>48</v>
      </c>
      <c r="B43" s="38" t="s">
        <v>53</v>
      </c>
      <c r="C43" s="38" t="s">
        <v>6</v>
      </c>
      <c r="D43" s="41">
        <v>3594</v>
      </c>
    </row>
    <row r="44" spans="1:4" hidden="1" x14ac:dyDescent="0.2">
      <c r="A44" s="38" t="s">
        <v>48</v>
      </c>
      <c r="B44" s="38" t="s">
        <v>48</v>
      </c>
      <c r="C44" s="38" t="s">
        <v>6</v>
      </c>
      <c r="D44" s="41">
        <v>129104</v>
      </c>
    </row>
    <row r="45" spans="1:4" hidden="1" x14ac:dyDescent="0.2">
      <c r="A45" s="38" t="s">
        <v>48</v>
      </c>
      <c r="B45" s="38" t="s">
        <v>54</v>
      </c>
      <c r="C45" s="38" t="s">
        <v>6</v>
      </c>
      <c r="D45" s="41">
        <v>31030</v>
      </c>
    </row>
    <row r="46" spans="1:4" x14ac:dyDescent="0.2">
      <c r="A46" s="38" t="s">
        <v>4</v>
      </c>
      <c r="B46" s="38" t="s">
        <v>55</v>
      </c>
      <c r="C46" s="38" t="s">
        <v>56</v>
      </c>
      <c r="D46" s="41">
        <v>234220</v>
      </c>
    </row>
    <row r="47" spans="1:4" x14ac:dyDescent="0.2">
      <c r="A47" s="38" t="s">
        <v>4</v>
      </c>
      <c r="B47" s="38" t="s">
        <v>57</v>
      </c>
      <c r="C47" s="38" t="s">
        <v>56</v>
      </c>
      <c r="D47" s="41">
        <v>160311</v>
      </c>
    </row>
    <row r="48" spans="1:4" x14ac:dyDescent="0.2">
      <c r="A48" s="38" t="s">
        <v>4</v>
      </c>
      <c r="B48" s="38" t="s">
        <v>58</v>
      </c>
      <c r="C48" s="38" t="s">
        <v>56</v>
      </c>
      <c r="D48" s="41">
        <v>87930</v>
      </c>
    </row>
    <row r="49" spans="1:4" x14ac:dyDescent="0.2">
      <c r="A49" s="38" t="s">
        <v>9</v>
      </c>
      <c r="B49" s="38" t="s">
        <v>59</v>
      </c>
      <c r="C49" s="38" t="s">
        <v>56</v>
      </c>
      <c r="D49" s="41">
        <v>34267</v>
      </c>
    </row>
    <row r="50" spans="1:4" x14ac:dyDescent="0.2">
      <c r="A50" s="38" t="s">
        <v>24</v>
      </c>
      <c r="B50" s="38" t="s">
        <v>60</v>
      </c>
      <c r="C50" s="38" t="s">
        <v>56</v>
      </c>
      <c r="D50" s="41">
        <v>4633</v>
      </c>
    </row>
    <row r="51" spans="1:4" x14ac:dyDescent="0.2">
      <c r="A51" s="38" t="s">
        <v>24</v>
      </c>
      <c r="B51" s="38" t="s">
        <v>61</v>
      </c>
      <c r="C51" s="38" t="s">
        <v>56</v>
      </c>
      <c r="D51" s="41">
        <v>86754</v>
      </c>
    </row>
    <row r="52" spans="1:4" x14ac:dyDescent="0.2">
      <c r="A52" s="38" t="s">
        <v>24</v>
      </c>
      <c r="B52" s="38" t="s">
        <v>62</v>
      </c>
      <c r="C52" s="38" t="s">
        <v>56</v>
      </c>
      <c r="D52" s="41">
        <v>45454</v>
      </c>
    </row>
    <row r="53" spans="1:4" x14ac:dyDescent="0.2">
      <c r="A53" s="38" t="s">
        <v>24</v>
      </c>
      <c r="B53" s="38" t="s">
        <v>63</v>
      </c>
      <c r="C53" s="38" t="s">
        <v>56</v>
      </c>
      <c r="D53" s="41">
        <v>35254</v>
      </c>
    </row>
    <row r="54" spans="1:4" x14ac:dyDescent="0.2">
      <c r="A54" s="38" t="s">
        <v>24</v>
      </c>
      <c r="B54" s="38" t="s">
        <v>64</v>
      </c>
      <c r="C54" s="38" t="s">
        <v>56</v>
      </c>
      <c r="D54" s="41">
        <v>22832</v>
      </c>
    </row>
    <row r="55" spans="1:4" x14ac:dyDescent="0.2">
      <c r="A55" s="38" t="s">
        <v>24</v>
      </c>
      <c r="B55" s="38" t="s">
        <v>65</v>
      </c>
      <c r="C55" s="38" t="s">
        <v>56</v>
      </c>
      <c r="D55" s="41">
        <v>30145</v>
      </c>
    </row>
    <row r="56" spans="1:4" x14ac:dyDescent="0.2">
      <c r="A56" s="38" t="s">
        <v>24</v>
      </c>
      <c r="B56" s="38" t="s">
        <v>24</v>
      </c>
      <c r="C56" s="38" t="s">
        <v>56</v>
      </c>
      <c r="D56" s="41">
        <v>103087</v>
      </c>
    </row>
    <row r="57" spans="1:4" x14ac:dyDescent="0.2">
      <c r="A57" s="38" t="s">
        <v>42</v>
      </c>
      <c r="B57" s="38" t="s">
        <v>66</v>
      </c>
      <c r="C57" s="38" t="s">
        <v>56</v>
      </c>
      <c r="D57" s="41">
        <v>61873</v>
      </c>
    </row>
    <row r="58" spans="1:4" x14ac:dyDescent="0.2">
      <c r="A58" s="38" t="s">
        <v>45</v>
      </c>
      <c r="B58" s="38" t="s">
        <v>67</v>
      </c>
      <c r="C58" s="38" t="s">
        <v>56</v>
      </c>
      <c r="D58" s="41">
        <v>119063</v>
      </c>
    </row>
    <row r="59" spans="1:4" x14ac:dyDescent="0.2">
      <c r="A59" s="38" t="s">
        <v>48</v>
      </c>
      <c r="B59" s="38" t="s">
        <v>68</v>
      </c>
      <c r="C59" s="38" t="s">
        <v>56</v>
      </c>
      <c r="D59" s="41">
        <v>57084</v>
      </c>
    </row>
    <row r="60" spans="1:4" x14ac:dyDescent="0.2">
      <c r="A60" s="38" t="s">
        <v>48</v>
      </c>
      <c r="B60" s="38" t="s">
        <v>69</v>
      </c>
      <c r="C60" s="38" t="s">
        <v>56</v>
      </c>
      <c r="D60" s="41">
        <v>77961</v>
      </c>
    </row>
    <row r="61" spans="1:4" x14ac:dyDescent="0.2">
      <c r="A61" s="38" t="s">
        <v>48</v>
      </c>
      <c r="B61" s="38" t="s">
        <v>70</v>
      </c>
      <c r="C61" s="38" t="s">
        <v>56</v>
      </c>
      <c r="D61" s="41">
        <v>156503</v>
      </c>
    </row>
    <row r="62" spans="1:4" x14ac:dyDescent="0.2">
      <c r="A62" s="38" t="s">
        <v>4</v>
      </c>
      <c r="B62" s="38" t="s">
        <v>71</v>
      </c>
      <c r="C62" s="54" t="s">
        <v>56</v>
      </c>
      <c r="D62" s="41">
        <v>12298</v>
      </c>
    </row>
    <row r="63" spans="1:4" x14ac:dyDescent="0.2">
      <c r="A63" s="38" t="s">
        <v>24</v>
      </c>
      <c r="B63" s="38" t="s">
        <v>72</v>
      </c>
      <c r="C63" s="54" t="s">
        <v>56</v>
      </c>
      <c r="D63" s="41">
        <v>26813</v>
      </c>
    </row>
    <row r="64" spans="1:4" x14ac:dyDescent="0.2">
      <c r="A64" s="38" t="s">
        <v>24</v>
      </c>
      <c r="B64" s="38" t="s">
        <v>73</v>
      </c>
      <c r="C64" s="54" t="s">
        <v>56</v>
      </c>
      <c r="D64" s="41">
        <v>30118</v>
      </c>
    </row>
    <row r="65" spans="1:4" x14ac:dyDescent="0.2">
      <c r="A65" s="38" t="s">
        <v>4</v>
      </c>
      <c r="B65" s="38" t="s">
        <v>74</v>
      </c>
      <c r="C65" s="38" t="s">
        <v>75</v>
      </c>
      <c r="D65" s="41">
        <v>91861</v>
      </c>
    </row>
    <row r="66" spans="1:4" x14ac:dyDescent="0.2">
      <c r="A66" s="38" t="s">
        <v>4</v>
      </c>
      <c r="B66" s="38" t="s">
        <v>76</v>
      </c>
      <c r="C66" s="38" t="s">
        <v>75</v>
      </c>
      <c r="D66" s="41">
        <v>48966</v>
      </c>
    </row>
    <row r="67" spans="1:4" x14ac:dyDescent="0.2">
      <c r="A67" s="38" t="s">
        <v>4</v>
      </c>
      <c r="B67" s="38" t="s">
        <v>77</v>
      </c>
      <c r="C67" s="38" t="s">
        <v>75</v>
      </c>
      <c r="D67" s="41">
        <v>79464</v>
      </c>
    </row>
    <row r="68" spans="1:4" x14ac:dyDescent="0.2">
      <c r="A68" s="38" t="s">
        <v>9</v>
      </c>
      <c r="B68" s="38" t="s">
        <v>78</v>
      </c>
      <c r="C68" s="38" t="s">
        <v>75</v>
      </c>
      <c r="D68" s="41">
        <v>112520</v>
      </c>
    </row>
    <row r="69" spans="1:4" x14ac:dyDescent="0.2">
      <c r="A69" s="38" t="s">
        <v>4</v>
      </c>
      <c r="B69" s="38" t="s">
        <v>79</v>
      </c>
      <c r="C69" s="38" t="s">
        <v>75</v>
      </c>
      <c r="D69" s="41">
        <v>65716</v>
      </c>
    </row>
    <row r="70" spans="1:4" x14ac:dyDescent="0.2">
      <c r="A70" s="38" t="s">
        <v>9</v>
      </c>
      <c r="B70" s="38" t="s">
        <v>80</v>
      </c>
      <c r="C70" s="38" t="s">
        <v>75</v>
      </c>
      <c r="D70" s="41">
        <v>83118</v>
      </c>
    </row>
    <row r="71" spans="1:4" x14ac:dyDescent="0.2">
      <c r="A71" s="38" t="s">
        <v>11</v>
      </c>
      <c r="B71" s="38" t="s">
        <v>81</v>
      </c>
      <c r="C71" s="38" t="s">
        <v>75</v>
      </c>
      <c r="D71" s="41">
        <v>53702</v>
      </c>
    </row>
    <row r="72" spans="1:4" x14ac:dyDescent="0.2">
      <c r="A72" s="38" t="s">
        <v>9</v>
      </c>
      <c r="B72" s="38" t="s">
        <v>82</v>
      </c>
      <c r="C72" s="38" t="s">
        <v>75</v>
      </c>
      <c r="D72" s="41">
        <v>25530</v>
      </c>
    </row>
    <row r="73" spans="1:4" x14ac:dyDescent="0.2">
      <c r="A73" s="38" t="s">
        <v>42</v>
      </c>
      <c r="B73" s="38" t="s">
        <v>83</v>
      </c>
      <c r="C73" s="38" t="s">
        <v>75</v>
      </c>
      <c r="D73" s="41">
        <v>9213</v>
      </c>
    </row>
    <row r="74" spans="1:4" x14ac:dyDescent="0.2">
      <c r="A74" s="38" t="s">
        <v>42</v>
      </c>
      <c r="B74" s="38" t="s">
        <v>84</v>
      </c>
      <c r="C74" s="38" t="s">
        <v>75</v>
      </c>
      <c r="D74" s="41">
        <v>43069</v>
      </c>
    </row>
    <row r="75" spans="1:4" x14ac:dyDescent="0.2">
      <c r="A75" s="38" t="s">
        <v>42</v>
      </c>
      <c r="B75" s="38" t="s">
        <v>85</v>
      </c>
      <c r="C75" s="38" t="s">
        <v>75</v>
      </c>
      <c r="D75" s="41">
        <v>7745</v>
      </c>
    </row>
    <row r="76" spans="1:4" x14ac:dyDescent="0.2">
      <c r="A76" s="38" t="s">
        <v>45</v>
      </c>
      <c r="B76" s="38" t="s">
        <v>86</v>
      </c>
      <c r="C76" s="38" t="s">
        <v>75</v>
      </c>
      <c r="D76" s="41">
        <v>27175</v>
      </c>
    </row>
    <row r="77" spans="1:4" x14ac:dyDescent="0.2">
      <c r="A77" s="38" t="s">
        <v>45</v>
      </c>
      <c r="B77" s="38" t="s">
        <v>87</v>
      </c>
      <c r="C77" s="38" t="s">
        <v>75</v>
      </c>
      <c r="D77" s="41">
        <v>116981</v>
      </c>
    </row>
    <row r="78" spans="1:4" x14ac:dyDescent="0.2">
      <c r="A78" s="38" t="s">
        <v>45</v>
      </c>
      <c r="B78" s="38" t="s">
        <v>88</v>
      </c>
      <c r="C78" s="38" t="s">
        <v>75</v>
      </c>
      <c r="D78" s="41">
        <v>29119</v>
      </c>
    </row>
    <row r="79" spans="1:4" x14ac:dyDescent="0.2">
      <c r="A79" s="38" t="s">
        <v>45</v>
      </c>
      <c r="B79" s="38" t="s">
        <v>89</v>
      </c>
      <c r="C79" s="38" t="s">
        <v>75</v>
      </c>
      <c r="D79" s="41">
        <v>98855</v>
      </c>
    </row>
    <row r="80" spans="1:4" x14ac:dyDescent="0.2">
      <c r="A80" s="38" t="s">
        <v>48</v>
      </c>
      <c r="B80" s="38" t="s">
        <v>90</v>
      </c>
      <c r="C80" s="38" t="s">
        <v>75</v>
      </c>
      <c r="D80" s="41">
        <v>42288</v>
      </c>
    </row>
    <row r="81" spans="1:4" x14ac:dyDescent="0.2">
      <c r="A81" s="38" t="s">
        <v>48</v>
      </c>
      <c r="B81" s="38" t="s">
        <v>91</v>
      </c>
      <c r="C81" s="38" t="s">
        <v>75</v>
      </c>
      <c r="D81" s="41">
        <v>46454</v>
      </c>
    </row>
    <row r="82" spans="1:4" x14ac:dyDescent="0.2">
      <c r="A82" s="38" t="s">
        <v>9</v>
      </c>
      <c r="B82" s="38" t="s">
        <v>92</v>
      </c>
      <c r="C82" s="38" t="s">
        <v>75</v>
      </c>
      <c r="D82" s="41">
        <v>16946</v>
      </c>
    </row>
    <row r="83" spans="1:4" x14ac:dyDescent="0.2">
      <c r="A83" s="38" t="s">
        <v>9</v>
      </c>
      <c r="B83" s="38" t="s">
        <v>93</v>
      </c>
      <c r="C83" s="38" t="s">
        <v>75</v>
      </c>
      <c r="D83" s="41">
        <v>19009</v>
      </c>
    </row>
    <row r="84" spans="1:4" x14ac:dyDescent="0.2">
      <c r="A84" s="38" t="s">
        <v>9</v>
      </c>
      <c r="B84" s="38" t="s">
        <v>94</v>
      </c>
      <c r="C84" s="38" t="s">
        <v>75</v>
      </c>
      <c r="D84" s="41">
        <v>19505</v>
      </c>
    </row>
    <row r="85" spans="1:4" x14ac:dyDescent="0.2">
      <c r="A85" s="38" t="s">
        <v>9</v>
      </c>
      <c r="B85" s="38" t="s">
        <v>95</v>
      </c>
      <c r="C85" s="38" t="s">
        <v>75</v>
      </c>
      <c r="D85" s="41">
        <v>74321</v>
      </c>
    </row>
    <row r="86" spans="1:4" x14ac:dyDescent="0.2">
      <c r="A86" s="38" t="s">
        <v>42</v>
      </c>
      <c r="B86" s="38" t="s">
        <v>96</v>
      </c>
      <c r="C86" s="54" t="s">
        <v>75</v>
      </c>
      <c r="D86" s="41">
        <v>28248</v>
      </c>
    </row>
    <row r="87" spans="1:4" x14ac:dyDescent="0.2">
      <c r="A87" s="38" t="s">
        <v>4</v>
      </c>
      <c r="B87" s="38" t="s">
        <v>4</v>
      </c>
      <c r="C87" s="38" t="s">
        <v>97</v>
      </c>
      <c r="D87" s="41">
        <v>81312</v>
      </c>
    </row>
    <row r="88" spans="1:4" x14ac:dyDescent="0.2">
      <c r="A88" s="38" t="s">
        <v>9</v>
      </c>
      <c r="B88" s="38" t="s">
        <v>98</v>
      </c>
      <c r="C88" s="38" t="s">
        <v>97</v>
      </c>
      <c r="D88" s="41">
        <v>130143</v>
      </c>
    </row>
    <row r="89" spans="1:4" x14ac:dyDescent="0.2">
      <c r="A89" s="38" t="s">
        <v>9</v>
      </c>
      <c r="B89" s="38" t="s">
        <v>99</v>
      </c>
      <c r="C89" s="38" t="s">
        <v>97</v>
      </c>
      <c r="D89" s="41">
        <v>24953</v>
      </c>
    </row>
    <row r="90" spans="1:4" x14ac:dyDescent="0.2">
      <c r="A90" s="38" t="s">
        <v>9</v>
      </c>
      <c r="B90" s="38" t="s">
        <v>100</v>
      </c>
      <c r="C90" s="38" t="s">
        <v>97</v>
      </c>
      <c r="D90" s="41">
        <v>111217</v>
      </c>
    </row>
    <row r="91" spans="1:4" x14ac:dyDescent="0.2">
      <c r="A91" s="38" t="s">
        <v>9</v>
      </c>
      <c r="B91" s="38" t="s">
        <v>101</v>
      </c>
      <c r="C91" s="38" t="s">
        <v>97</v>
      </c>
      <c r="D91" s="41">
        <v>70860</v>
      </c>
    </row>
    <row r="92" spans="1:4" x14ac:dyDescent="0.2">
      <c r="A92" s="38" t="s">
        <v>11</v>
      </c>
      <c r="B92" s="38" t="s">
        <v>102</v>
      </c>
      <c r="C92" s="38" t="s">
        <v>97</v>
      </c>
      <c r="D92" s="41">
        <v>59807</v>
      </c>
    </row>
    <row r="93" spans="1:4" x14ac:dyDescent="0.2">
      <c r="A93" s="38" t="s">
        <v>27</v>
      </c>
      <c r="B93" s="38" t="s">
        <v>27</v>
      </c>
      <c r="C93" s="38" t="s">
        <v>97</v>
      </c>
      <c r="D93" s="41">
        <v>79278</v>
      </c>
    </row>
    <row r="94" spans="1:4" x14ac:dyDescent="0.2">
      <c r="A94" s="38" t="s">
        <v>42</v>
      </c>
      <c r="B94" s="38" t="s">
        <v>103</v>
      </c>
      <c r="C94" s="38" t="s">
        <v>97</v>
      </c>
      <c r="D94" s="41">
        <v>173628</v>
      </c>
    </row>
    <row r="95" spans="1:4" x14ac:dyDescent="0.2">
      <c r="A95" s="38" t="s">
        <v>24</v>
      </c>
      <c r="B95" s="38" t="s">
        <v>104</v>
      </c>
      <c r="C95" s="38" t="s">
        <v>97</v>
      </c>
      <c r="D95" s="41">
        <v>109142</v>
      </c>
    </row>
    <row r="96" spans="1:4" x14ac:dyDescent="0.2">
      <c r="A96" s="38" t="s">
        <v>24</v>
      </c>
      <c r="B96" s="38" t="s">
        <v>105</v>
      </c>
      <c r="C96" s="38" t="s">
        <v>97</v>
      </c>
      <c r="D96" s="41">
        <v>30794</v>
      </c>
    </row>
    <row r="97" spans="1:4" x14ac:dyDescent="0.2">
      <c r="A97" s="38" t="s">
        <v>48</v>
      </c>
      <c r="B97" s="38" t="s">
        <v>106</v>
      </c>
      <c r="C97" s="38" t="s">
        <v>97</v>
      </c>
      <c r="D97" s="41">
        <v>82272</v>
      </c>
    </row>
    <row r="98" spans="1:4" x14ac:dyDescent="0.2">
      <c r="A98" s="38" t="s">
        <v>48</v>
      </c>
      <c r="B98" s="38" t="s">
        <v>107</v>
      </c>
      <c r="C98" s="38" t="s">
        <v>97</v>
      </c>
      <c r="D98" s="41">
        <v>69226</v>
      </c>
    </row>
    <row r="99" spans="1:4" x14ac:dyDescent="0.2">
      <c r="A99" s="38" t="s">
        <v>4</v>
      </c>
      <c r="B99" s="38" t="s">
        <v>108</v>
      </c>
      <c r="C99" s="54" t="s">
        <v>97</v>
      </c>
      <c r="D99" s="41">
        <v>122580</v>
      </c>
    </row>
    <row r="100" spans="1:4" x14ac:dyDescent="0.2">
      <c r="A100" s="38" t="s">
        <v>24</v>
      </c>
      <c r="B100" s="38" t="s">
        <v>109</v>
      </c>
      <c r="C100" s="54" t="s">
        <v>97</v>
      </c>
      <c r="D100" s="41">
        <v>67879</v>
      </c>
    </row>
    <row r="101" spans="1:4" x14ac:dyDescent="0.2">
      <c r="A101" s="38" t="s">
        <v>4</v>
      </c>
      <c r="B101" s="38" t="s">
        <v>110</v>
      </c>
      <c r="C101" s="38" t="s">
        <v>111</v>
      </c>
      <c r="D101" s="41">
        <v>433697</v>
      </c>
    </row>
    <row r="102" spans="1:4" x14ac:dyDescent="0.2">
      <c r="A102" s="38" t="s">
        <v>112</v>
      </c>
      <c r="B102" s="38" t="s">
        <v>112</v>
      </c>
      <c r="C102" s="38" t="s">
        <v>111</v>
      </c>
      <c r="D102" s="41">
        <v>897806</v>
      </c>
    </row>
    <row r="103" spans="1:4" x14ac:dyDescent="0.2">
      <c r="A103" s="38" t="s">
        <v>48</v>
      </c>
      <c r="B103" s="38" t="s">
        <v>113</v>
      </c>
      <c r="C103" s="38" t="s">
        <v>111</v>
      </c>
      <c r="D103" s="41">
        <v>1049187</v>
      </c>
    </row>
  </sheetData>
  <autoFilter ref="A1:D103" xr:uid="{337A999F-0968-49CA-A564-ED8B0191DDDB}">
    <filterColumn colId="2">
      <filters>
        <filter val="Core Suburb"/>
        <filter val="Outer Suburb"/>
        <filter val="Urban Area"/>
        <filter val="Urban Center"/>
      </filters>
    </filterColumn>
    <sortState xmlns:xlrd2="http://schemas.microsoft.com/office/spreadsheetml/2017/richdata2" ref="A2:D103">
      <sortCondition ref="C1:C103"/>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BB10BA7B09924CA3DDCA8348E23E6C" ma:contentTypeVersion="9" ma:contentTypeDescription="Create a new document." ma:contentTypeScope="" ma:versionID="ed465ff58582381426216a9704a8b4b9">
  <xsd:schema xmlns:xsd="http://www.w3.org/2001/XMLSchema" xmlns:xs="http://www.w3.org/2001/XMLSchema" xmlns:p="http://schemas.microsoft.com/office/2006/metadata/properties" xmlns:ns2="bc5f25fa-28d0-40bc-936e-67630afea89c" xmlns:ns3="db802536-ecd5-4837-8d25-d57ce8d63b86" targetNamespace="http://schemas.microsoft.com/office/2006/metadata/properties" ma:root="true" ma:fieldsID="f6e514edbea9c77195bb8d4079e0726d" ns2:_="" ns3:_="">
    <xsd:import namespace="bc5f25fa-28d0-40bc-936e-67630afea89c"/>
    <xsd:import namespace="db802536-ecd5-4837-8d25-d57ce8d63b8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5f25fa-28d0-40bc-936e-67630afea8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802536-ecd5-4837-8d25-d57ce8d63b8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8DBF33-DCD9-4F5E-A1F1-30C095C289C9}">
  <ds:schemaRefs>
    <ds:schemaRef ds:uri="http://www.w3.org/XML/1998/namespace"/>
    <ds:schemaRef ds:uri="bc5f25fa-28d0-40bc-936e-67630afea89c"/>
    <ds:schemaRef ds:uri="http://purl.org/dc/terms/"/>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96A78E95-3869-408E-9CF4-F04482B0643E}"/>
</file>

<file path=customXml/itemProps3.xml><?xml version="1.0" encoding="utf-8"?>
<ds:datastoreItem xmlns:ds="http://schemas.openxmlformats.org/officeDocument/2006/customXml" ds:itemID="{1153A230-B6F1-4054-87A5-42F8B19FC8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Citywide Spotlight</vt:lpstr>
      <vt:lpstr>Citywide Standards</vt:lpstr>
      <vt:lpstr>Special District Spotlight</vt:lpstr>
      <vt:lpstr>Special Districts</vt:lpstr>
      <vt:lpstr>Key</vt:lpstr>
      <vt:lpstr>Population</vt:lpstr>
      <vt:lpstr>'Citywide Spotlight'!Print_Area</vt:lpstr>
      <vt:lpstr>'Citywide Standards'!Print_Area</vt:lpstr>
      <vt:lpstr>Key!Print_Area</vt:lpstr>
      <vt:lpstr>'Special District Spotlight'!Print_Area</vt:lpstr>
      <vt:lpstr>'Special Districts'!Print_Area</vt:lpstr>
      <vt:lpstr>'Citywide Spotlight'!Print_Titles</vt:lpstr>
      <vt:lpstr>'Citywide Standards'!Print_Titles</vt:lpstr>
      <vt:lpstr>'Special District Spotlight'!Print_Titles</vt:lpstr>
      <vt:lpstr>'Special Districts'!Print_Titles</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Sophie Martin</dc:creator>
  <cp:keywords/>
  <dc:description/>
  <cp:lastModifiedBy>Carmen Chen</cp:lastModifiedBy>
  <cp:revision/>
  <dcterms:created xsi:type="dcterms:W3CDTF">2012-02-17T21:20:41Z</dcterms:created>
  <dcterms:modified xsi:type="dcterms:W3CDTF">2021-10-01T15:38:57Z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0x0101005BBB10BA7B09924CA3DDCA8348E23E6C</vt:lpwstr>
  </property>
</Properties>
</file>