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rhartofelis\Box\Resilience Program\Housing Element Guidance\02_DataMappingAnalysis\"/>
    </mc:Choice>
  </mc:AlternateContent>
  <xr:revisionPtr revIDLastSave="0" documentId="13_ncr:1_{CA0C3F68-C694-4976-93BF-A10DE2C4AD91}" xr6:coauthVersionLast="36" xr6:coauthVersionMax="47" xr10:uidLastSave="{00000000-0000-0000-0000-000000000000}"/>
  <bookViews>
    <workbookView xWindow="-105" yWindow="-105" windowWidth="22785" windowHeight="14655" firstSheet="1" activeTab="1" xr2:uid="{406DDFE0-E05C-427F-9B44-563C0793E162}"/>
  </bookViews>
  <sheets>
    <sheet name="README - Meta Data" sheetId="15" r:id="rId1"/>
    <sheet name="Hazard Overview" sheetId="14" r:id="rId2"/>
    <sheet name="Preview - Fire" sheetId="5" state="hidden" r:id="rId3"/>
    <sheet name="Preview - Flood" sheetId="7" state="hidden" r:id="rId4"/>
    <sheet name="Preview - SLR" sheetId="9" state="hidden" r:id="rId5"/>
    <sheet name="Hazard Dictionary" sheetId="16" r:id="rId6"/>
    <sheet name="Fire Hazard Severity Zones" sheetId="1" r:id="rId7"/>
    <sheet name="FEMA Flood Zones" sheetId="2" r:id="rId8"/>
    <sheet name="SLR Raw" sheetId="10" state="hidden" r:id="rId9"/>
    <sheet name="Sea Level Rise" sheetId="4" r:id="rId10"/>
    <sheet name="Border Cities" sheetId="3" state="hidden" r:id="rId11"/>
  </sheets>
  <definedNames>
    <definedName name="_xlnm._FilterDatabase" localSheetId="7" hidden="1">'FEMA Flood Zones'!$R$6:$R$116</definedName>
    <definedName name="_xlnm._FilterDatabase" localSheetId="9" hidden="1">'Sea Level Rise'!$AR$1:$AR$118</definedName>
    <definedName name="Jurisdiction" localSheetId="1">'Hazard Overview'!$A$26:$A$135</definedName>
    <definedName name="Jurisdic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P11" i="4" l="1"/>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P67" i="4"/>
  <c r="AP68"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4" i="4"/>
  <c r="AP95" i="4"/>
  <c r="AP96" i="4"/>
  <c r="AP97" i="4"/>
  <c r="AP98" i="4"/>
  <c r="AP99" i="4"/>
  <c r="AP100" i="4"/>
  <c r="AP101" i="4"/>
  <c r="AP102" i="4"/>
  <c r="AP103" i="4"/>
  <c r="AP104" i="4"/>
  <c r="AP105" i="4"/>
  <c r="AP106" i="4"/>
  <c r="AP107" i="4"/>
  <c r="AP108" i="4"/>
  <c r="AP109" i="4"/>
  <c r="AP110" i="4"/>
  <c r="AP111" i="4"/>
  <c r="AP112" i="4"/>
  <c r="AP113" i="4"/>
  <c r="AP114" i="4"/>
  <c r="AP115" i="4"/>
  <c r="AP116" i="4"/>
  <c r="AP117" i="4"/>
  <c r="AP118" i="4"/>
  <c r="AP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0" i="4"/>
  <c r="S8" i="2" l="1"/>
  <c r="B9" i="14" l="1"/>
  <c r="N10" i="14"/>
  <c r="L65" i="1" l="1"/>
  <c r="M65" i="1"/>
  <c r="N65" i="1"/>
  <c r="O65" i="1"/>
  <c r="M47" i="1"/>
  <c r="L47" i="1"/>
  <c r="N47" i="1"/>
  <c r="F9" i="14" l="1"/>
  <c r="U18" i="14"/>
  <c r="U17" i="14"/>
  <c r="U16" i="14"/>
  <c r="U15" i="14"/>
  <c r="T18" i="14"/>
  <c r="T17" i="14"/>
  <c r="T16" i="14"/>
  <c r="T15" i="14"/>
  <c r="S18" i="14"/>
  <c r="S17" i="14"/>
  <c r="S16" i="14"/>
  <c r="S15" i="14"/>
  <c r="R18" i="14"/>
  <c r="R17" i="14"/>
  <c r="R16" i="14"/>
  <c r="R15" i="14"/>
  <c r="Q18" i="14"/>
  <c r="Q17" i="14"/>
  <c r="Q16" i="14"/>
  <c r="Q15" i="14"/>
  <c r="P18" i="14"/>
  <c r="P17" i="14"/>
  <c r="P16" i="14"/>
  <c r="P15" i="14"/>
  <c r="O18" i="14"/>
  <c r="O17" i="14"/>
  <c r="O16" i="14"/>
  <c r="O15" i="14"/>
  <c r="N18" i="14"/>
  <c r="N17" i="14"/>
  <c r="N16" i="14"/>
  <c r="N15" i="14"/>
  <c r="M18" i="14"/>
  <c r="M17" i="14"/>
  <c r="M16" i="14"/>
  <c r="M15" i="14"/>
  <c r="J18" i="14"/>
  <c r="J17" i="14"/>
  <c r="J16" i="14"/>
  <c r="J15" i="14"/>
  <c r="I18" i="14"/>
  <c r="I17" i="14"/>
  <c r="I16" i="14"/>
  <c r="I15" i="14"/>
  <c r="H18" i="14"/>
  <c r="H17" i="14"/>
  <c r="H16" i="14"/>
  <c r="H15" i="14"/>
  <c r="C16" i="14"/>
  <c r="C15" i="14"/>
  <c r="D15" i="14" l="1"/>
  <c r="E18" i="14"/>
  <c r="E16" i="14"/>
  <c r="E17" i="14"/>
  <c r="D18" i="14"/>
  <c r="D16" i="14"/>
  <c r="C18" i="14"/>
  <c r="C17" i="14"/>
  <c r="E15" i="14"/>
  <c r="D17" i="14"/>
  <c r="I9" i="2" l="1"/>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8" i="2"/>
  <c r="R112" i="2" l="1"/>
  <c r="S112" i="2"/>
  <c r="R104" i="2"/>
  <c r="S104" i="2"/>
  <c r="R96" i="2"/>
  <c r="S96" i="2"/>
  <c r="R88" i="2"/>
  <c r="S88" i="2"/>
  <c r="R80" i="2"/>
  <c r="S80" i="2"/>
  <c r="R72" i="2"/>
  <c r="S72" i="2"/>
  <c r="R64" i="2"/>
  <c r="S64" i="2"/>
  <c r="R56" i="2"/>
  <c r="S56" i="2"/>
  <c r="R48" i="2"/>
  <c r="S48" i="2"/>
  <c r="R40" i="2"/>
  <c r="S40" i="2"/>
  <c r="R32" i="2"/>
  <c r="S32" i="2"/>
  <c r="R24" i="2"/>
  <c r="S24" i="2"/>
  <c r="R16" i="2"/>
  <c r="S16" i="2"/>
  <c r="R115" i="2"/>
  <c r="S115" i="2"/>
  <c r="R107" i="2"/>
  <c r="S107" i="2"/>
  <c r="R99" i="2"/>
  <c r="S99" i="2"/>
  <c r="R95" i="2"/>
  <c r="S95" i="2"/>
  <c r="R87" i="2"/>
  <c r="S87" i="2"/>
  <c r="R79" i="2"/>
  <c r="S79" i="2"/>
  <c r="R71" i="2"/>
  <c r="S71" i="2"/>
  <c r="R67" i="2"/>
  <c r="S67" i="2"/>
  <c r="R59" i="2"/>
  <c r="S59" i="2"/>
  <c r="R51" i="2"/>
  <c r="S51" i="2"/>
  <c r="R47" i="2"/>
  <c r="S47" i="2"/>
  <c r="R39" i="2"/>
  <c r="S39" i="2"/>
  <c r="R35" i="2"/>
  <c r="S35" i="2"/>
  <c r="R31" i="2"/>
  <c r="S31" i="2"/>
  <c r="R27" i="2"/>
  <c r="S27" i="2"/>
  <c r="R19" i="2"/>
  <c r="S19" i="2"/>
  <c r="R15" i="2"/>
  <c r="S15" i="2"/>
  <c r="R11" i="2"/>
  <c r="S11" i="2"/>
  <c r="R114" i="2"/>
  <c r="S114" i="2"/>
  <c r="R110" i="2"/>
  <c r="S110" i="2"/>
  <c r="R106" i="2"/>
  <c r="S106" i="2"/>
  <c r="R102" i="2"/>
  <c r="S102" i="2"/>
  <c r="R98" i="2"/>
  <c r="S98" i="2"/>
  <c r="R94" i="2"/>
  <c r="S94" i="2"/>
  <c r="R90" i="2"/>
  <c r="S90" i="2"/>
  <c r="R86" i="2"/>
  <c r="S86" i="2"/>
  <c r="R82" i="2"/>
  <c r="S82" i="2"/>
  <c r="R78" i="2"/>
  <c r="S78" i="2"/>
  <c r="R74" i="2"/>
  <c r="S74" i="2"/>
  <c r="R70" i="2"/>
  <c r="S70" i="2"/>
  <c r="R66" i="2"/>
  <c r="S66" i="2"/>
  <c r="R62" i="2"/>
  <c r="S62" i="2"/>
  <c r="R58" i="2"/>
  <c r="S58" i="2"/>
  <c r="R54" i="2"/>
  <c r="S54" i="2"/>
  <c r="R50" i="2"/>
  <c r="S50" i="2"/>
  <c r="R46" i="2"/>
  <c r="S46" i="2"/>
  <c r="R42" i="2"/>
  <c r="S42" i="2"/>
  <c r="R38" i="2"/>
  <c r="S38" i="2"/>
  <c r="R34" i="2"/>
  <c r="S34" i="2"/>
  <c r="R30" i="2"/>
  <c r="S30" i="2"/>
  <c r="R26" i="2"/>
  <c r="S26" i="2"/>
  <c r="R22" i="2"/>
  <c r="S22" i="2"/>
  <c r="R18" i="2"/>
  <c r="S18" i="2"/>
  <c r="R14" i="2"/>
  <c r="S14" i="2"/>
  <c r="R10" i="2"/>
  <c r="S10" i="2"/>
  <c r="R116" i="2"/>
  <c r="S116" i="2"/>
  <c r="R108" i="2"/>
  <c r="S108" i="2"/>
  <c r="R100" i="2"/>
  <c r="S100" i="2"/>
  <c r="R92" i="2"/>
  <c r="S92" i="2"/>
  <c r="R84" i="2"/>
  <c r="S84" i="2"/>
  <c r="R76" i="2"/>
  <c r="S76" i="2"/>
  <c r="R68" i="2"/>
  <c r="S68" i="2"/>
  <c r="R60" i="2"/>
  <c r="S60" i="2"/>
  <c r="R52" i="2"/>
  <c r="S52" i="2"/>
  <c r="R44" i="2"/>
  <c r="S44" i="2"/>
  <c r="R36" i="2"/>
  <c r="S36" i="2"/>
  <c r="R28" i="2"/>
  <c r="S28" i="2"/>
  <c r="R20" i="2"/>
  <c r="S20" i="2"/>
  <c r="R12" i="2"/>
  <c r="S12" i="2"/>
  <c r="R111" i="2"/>
  <c r="S111" i="2"/>
  <c r="R103" i="2"/>
  <c r="S103" i="2"/>
  <c r="R91" i="2"/>
  <c r="S91" i="2"/>
  <c r="R83" i="2"/>
  <c r="S83" i="2"/>
  <c r="R75" i="2"/>
  <c r="S75" i="2"/>
  <c r="R63" i="2"/>
  <c r="S63" i="2"/>
  <c r="R55" i="2"/>
  <c r="S55" i="2"/>
  <c r="R43" i="2"/>
  <c r="S43" i="2"/>
  <c r="R23" i="2"/>
  <c r="S23" i="2"/>
  <c r="R8" i="2"/>
  <c r="R113" i="2"/>
  <c r="S113" i="2"/>
  <c r="R109" i="2"/>
  <c r="S109" i="2"/>
  <c r="R105" i="2"/>
  <c r="S105" i="2"/>
  <c r="R101" i="2"/>
  <c r="S101" i="2"/>
  <c r="R97" i="2"/>
  <c r="S97" i="2"/>
  <c r="R93" i="2"/>
  <c r="S93" i="2"/>
  <c r="R89" i="2"/>
  <c r="S89" i="2"/>
  <c r="R85" i="2"/>
  <c r="S85" i="2"/>
  <c r="R81" i="2"/>
  <c r="S81" i="2"/>
  <c r="R77" i="2"/>
  <c r="S77" i="2"/>
  <c r="R73" i="2"/>
  <c r="S73" i="2"/>
  <c r="R69" i="2"/>
  <c r="S69" i="2"/>
  <c r="R65" i="2"/>
  <c r="S65" i="2"/>
  <c r="R57" i="2"/>
  <c r="S57" i="2"/>
  <c r="R53" i="2"/>
  <c r="S53" i="2"/>
  <c r="R49" i="2"/>
  <c r="S49" i="2"/>
  <c r="R45" i="2"/>
  <c r="S45" i="2"/>
  <c r="R41" i="2"/>
  <c r="S41" i="2"/>
  <c r="R37" i="2"/>
  <c r="S37" i="2"/>
  <c r="R33" i="2"/>
  <c r="S33" i="2"/>
  <c r="R29" i="2"/>
  <c r="S29" i="2"/>
  <c r="R25" i="2"/>
  <c r="S25" i="2"/>
  <c r="R21" i="2"/>
  <c r="S21" i="2"/>
  <c r="R17" i="2"/>
  <c r="S17" i="2"/>
  <c r="R13" i="2"/>
  <c r="S13" i="2"/>
  <c r="R9" i="2"/>
  <c r="T9" i="2" s="1"/>
  <c r="S9" i="2"/>
  <c r="K117" i="4"/>
  <c r="AF117" i="4" s="1"/>
  <c r="L117" i="4"/>
  <c r="AG117" i="4" s="1"/>
  <c r="M117" i="4"/>
  <c r="AH117" i="4" s="1"/>
  <c r="N117" i="4"/>
  <c r="AI117" i="4" s="1"/>
  <c r="O117" i="4"/>
  <c r="AJ117" i="4" s="1"/>
  <c r="P117" i="4"/>
  <c r="AK117" i="4" s="1"/>
  <c r="Q117" i="4"/>
  <c r="AL117" i="4" s="1"/>
  <c r="R117" i="4"/>
  <c r="AM117" i="4" s="1"/>
  <c r="S117" i="4"/>
  <c r="T117" i="4"/>
  <c r="AO117" i="4" s="1"/>
  <c r="K118" i="4"/>
  <c r="AF118" i="4" s="1"/>
  <c r="L118" i="4"/>
  <c r="AG118" i="4" s="1"/>
  <c r="M118" i="4"/>
  <c r="AH118" i="4" s="1"/>
  <c r="N118" i="4"/>
  <c r="AI118" i="4" s="1"/>
  <c r="O118" i="4"/>
  <c r="AJ118" i="4" s="1"/>
  <c r="P118" i="4"/>
  <c r="AK118" i="4" s="1"/>
  <c r="Q118" i="4"/>
  <c r="AL118" i="4" s="1"/>
  <c r="R118" i="4"/>
  <c r="AM118" i="4" s="1"/>
  <c r="S118" i="4"/>
  <c r="T118" i="4"/>
  <c r="AO118" i="4" s="1"/>
  <c r="K113" i="4"/>
  <c r="AF113" i="4" s="1"/>
  <c r="L113" i="4"/>
  <c r="AG113" i="4" s="1"/>
  <c r="M113" i="4"/>
  <c r="AH113" i="4" s="1"/>
  <c r="N113" i="4"/>
  <c r="AI113" i="4" s="1"/>
  <c r="O113" i="4"/>
  <c r="AJ113" i="4" s="1"/>
  <c r="P113" i="4"/>
  <c r="AK113" i="4" s="1"/>
  <c r="Q113" i="4"/>
  <c r="AL113" i="4" s="1"/>
  <c r="R113" i="4"/>
  <c r="AM113" i="4" s="1"/>
  <c r="S113" i="4"/>
  <c r="T113" i="4"/>
  <c r="AO113" i="4" s="1"/>
  <c r="K114" i="4"/>
  <c r="AF114" i="4" s="1"/>
  <c r="L114" i="4"/>
  <c r="AG114" i="4" s="1"/>
  <c r="M114" i="4"/>
  <c r="AH114" i="4" s="1"/>
  <c r="N114" i="4"/>
  <c r="AI114" i="4" s="1"/>
  <c r="O114" i="4"/>
  <c r="AJ114" i="4" s="1"/>
  <c r="P114" i="4"/>
  <c r="AK114" i="4" s="1"/>
  <c r="Q114" i="4"/>
  <c r="AL114" i="4" s="1"/>
  <c r="R114" i="4"/>
  <c r="AM114" i="4" s="1"/>
  <c r="S114" i="4"/>
  <c r="T114" i="4"/>
  <c r="AO114" i="4" s="1"/>
  <c r="K115" i="4"/>
  <c r="AF115" i="4" s="1"/>
  <c r="L115" i="4"/>
  <c r="AG115" i="4" s="1"/>
  <c r="M115" i="4"/>
  <c r="AH115" i="4" s="1"/>
  <c r="N115" i="4"/>
  <c r="AI115" i="4" s="1"/>
  <c r="O115" i="4"/>
  <c r="AJ115" i="4" s="1"/>
  <c r="P115" i="4"/>
  <c r="AK115" i="4" s="1"/>
  <c r="Q115" i="4"/>
  <c r="AL115" i="4" s="1"/>
  <c r="R115" i="4"/>
  <c r="AM115" i="4" s="1"/>
  <c r="S115" i="4"/>
  <c r="T115" i="4"/>
  <c r="AO115" i="4" s="1"/>
  <c r="K116" i="4"/>
  <c r="AF116" i="4" s="1"/>
  <c r="L116" i="4"/>
  <c r="AG116" i="4" s="1"/>
  <c r="M116" i="4"/>
  <c r="AH116" i="4" s="1"/>
  <c r="N116" i="4"/>
  <c r="AI116" i="4" s="1"/>
  <c r="O116" i="4"/>
  <c r="AJ116" i="4" s="1"/>
  <c r="P116" i="4"/>
  <c r="AK116" i="4" s="1"/>
  <c r="Q116" i="4"/>
  <c r="AL116" i="4" s="1"/>
  <c r="R116" i="4"/>
  <c r="AM116" i="4" s="1"/>
  <c r="S116" i="4"/>
  <c r="T116" i="4"/>
  <c r="AO116" i="4" s="1"/>
  <c r="K110" i="4"/>
  <c r="AF110" i="4" s="1"/>
  <c r="L110" i="4"/>
  <c r="AG110" i="4" s="1"/>
  <c r="M110" i="4"/>
  <c r="AH110" i="4" s="1"/>
  <c r="N110" i="4"/>
  <c r="AI110" i="4" s="1"/>
  <c r="O110" i="4"/>
  <c r="AJ110" i="4" s="1"/>
  <c r="P110" i="4"/>
  <c r="AK110" i="4" s="1"/>
  <c r="Q110" i="4"/>
  <c r="AL110" i="4" s="1"/>
  <c r="R110" i="4"/>
  <c r="AM110" i="4" s="1"/>
  <c r="S110" i="4"/>
  <c r="T110" i="4"/>
  <c r="AO110" i="4" s="1"/>
  <c r="K111" i="4"/>
  <c r="AF111" i="4" s="1"/>
  <c r="L111" i="4"/>
  <c r="AG111" i="4" s="1"/>
  <c r="M111" i="4"/>
  <c r="AH111" i="4" s="1"/>
  <c r="N111" i="4"/>
  <c r="AI111" i="4" s="1"/>
  <c r="O111" i="4"/>
  <c r="AJ111" i="4" s="1"/>
  <c r="P111" i="4"/>
  <c r="AK111" i="4" s="1"/>
  <c r="Q111" i="4"/>
  <c r="AL111" i="4" s="1"/>
  <c r="R111" i="4"/>
  <c r="AM111" i="4" s="1"/>
  <c r="S111" i="4"/>
  <c r="T111" i="4"/>
  <c r="AO111" i="4" s="1"/>
  <c r="K112" i="4"/>
  <c r="AF112" i="4" s="1"/>
  <c r="L112" i="4"/>
  <c r="AG112" i="4" s="1"/>
  <c r="M112" i="4"/>
  <c r="AH112" i="4" s="1"/>
  <c r="N112" i="4"/>
  <c r="AI112" i="4" s="1"/>
  <c r="O112" i="4"/>
  <c r="AJ112" i="4" s="1"/>
  <c r="P112" i="4"/>
  <c r="AK112" i="4" s="1"/>
  <c r="Q112" i="4"/>
  <c r="AL112" i="4" s="1"/>
  <c r="R112" i="4"/>
  <c r="AM112" i="4" s="1"/>
  <c r="S112" i="4"/>
  <c r="T112" i="4"/>
  <c r="AO112" i="4" s="1"/>
  <c r="L109" i="4"/>
  <c r="AG109" i="4" s="1"/>
  <c r="M109" i="4"/>
  <c r="AH109" i="4" s="1"/>
  <c r="N109" i="4"/>
  <c r="AI109" i="4" s="1"/>
  <c r="O109" i="4"/>
  <c r="AJ109" i="4" s="1"/>
  <c r="P109" i="4"/>
  <c r="AK109" i="4" s="1"/>
  <c r="Q109" i="4"/>
  <c r="AL109" i="4" s="1"/>
  <c r="R109" i="4"/>
  <c r="AM109" i="4" s="1"/>
  <c r="S109" i="4"/>
  <c r="T109" i="4"/>
  <c r="AO109" i="4" s="1"/>
  <c r="K109" i="4"/>
  <c r="AF109" i="4" s="1"/>
  <c r="C110" i="4"/>
  <c r="D110" i="4"/>
  <c r="Y110" i="4" s="1"/>
  <c r="E110" i="4"/>
  <c r="Z110" i="4" s="1"/>
  <c r="F110" i="4"/>
  <c r="AA110" i="4" s="1"/>
  <c r="G110" i="4"/>
  <c r="AB110" i="4" s="1"/>
  <c r="H110" i="4"/>
  <c r="AC110" i="4" s="1"/>
  <c r="I110" i="4"/>
  <c r="AD110" i="4" s="1"/>
  <c r="J110" i="4"/>
  <c r="AE110" i="4" s="1"/>
  <c r="C111" i="4"/>
  <c r="D111" i="4"/>
  <c r="Y111" i="4" s="1"/>
  <c r="E111" i="4"/>
  <c r="Z111" i="4" s="1"/>
  <c r="F111" i="4"/>
  <c r="AA111" i="4" s="1"/>
  <c r="G111" i="4"/>
  <c r="AB111" i="4" s="1"/>
  <c r="H111" i="4"/>
  <c r="AC111" i="4" s="1"/>
  <c r="I111" i="4"/>
  <c r="AD111" i="4" s="1"/>
  <c r="J111" i="4"/>
  <c r="AE111" i="4" s="1"/>
  <c r="C112" i="4"/>
  <c r="D112" i="4"/>
  <c r="Y112" i="4" s="1"/>
  <c r="E112" i="4"/>
  <c r="Z112" i="4" s="1"/>
  <c r="F112" i="4"/>
  <c r="AA112" i="4" s="1"/>
  <c r="G112" i="4"/>
  <c r="AB112" i="4" s="1"/>
  <c r="H112" i="4"/>
  <c r="AC112" i="4" s="1"/>
  <c r="I112" i="4"/>
  <c r="AD112" i="4" s="1"/>
  <c r="J112" i="4"/>
  <c r="AE112" i="4" s="1"/>
  <c r="C113" i="4"/>
  <c r="D113" i="4"/>
  <c r="Y113" i="4" s="1"/>
  <c r="E113" i="4"/>
  <c r="Z113" i="4" s="1"/>
  <c r="F113" i="4"/>
  <c r="AA113" i="4" s="1"/>
  <c r="G113" i="4"/>
  <c r="AB113" i="4" s="1"/>
  <c r="H113" i="4"/>
  <c r="AC113" i="4" s="1"/>
  <c r="I113" i="4"/>
  <c r="AD113" i="4" s="1"/>
  <c r="J113" i="4"/>
  <c r="AE113" i="4" s="1"/>
  <c r="C114" i="4"/>
  <c r="D114" i="4"/>
  <c r="Y114" i="4" s="1"/>
  <c r="E114" i="4"/>
  <c r="Z114" i="4" s="1"/>
  <c r="F114" i="4"/>
  <c r="AA114" i="4" s="1"/>
  <c r="G114" i="4"/>
  <c r="AB114" i="4" s="1"/>
  <c r="H114" i="4"/>
  <c r="AC114" i="4" s="1"/>
  <c r="I114" i="4"/>
  <c r="AD114" i="4" s="1"/>
  <c r="J114" i="4"/>
  <c r="AE114" i="4" s="1"/>
  <c r="C115" i="4"/>
  <c r="D115" i="4"/>
  <c r="Y115" i="4" s="1"/>
  <c r="E115" i="4"/>
  <c r="Z115" i="4" s="1"/>
  <c r="F115" i="4"/>
  <c r="AA115" i="4" s="1"/>
  <c r="G115" i="4"/>
  <c r="AB115" i="4" s="1"/>
  <c r="H115" i="4"/>
  <c r="AC115" i="4" s="1"/>
  <c r="I115" i="4"/>
  <c r="AD115" i="4" s="1"/>
  <c r="J115" i="4"/>
  <c r="AE115" i="4" s="1"/>
  <c r="C116" i="4"/>
  <c r="D116" i="4"/>
  <c r="Y116" i="4" s="1"/>
  <c r="E116" i="4"/>
  <c r="Z116" i="4" s="1"/>
  <c r="F116" i="4"/>
  <c r="AA116" i="4" s="1"/>
  <c r="G116" i="4"/>
  <c r="AB116" i="4" s="1"/>
  <c r="H116" i="4"/>
  <c r="AC116" i="4" s="1"/>
  <c r="I116" i="4"/>
  <c r="AD116" i="4" s="1"/>
  <c r="J116" i="4"/>
  <c r="AE116" i="4" s="1"/>
  <c r="C117" i="4"/>
  <c r="D117" i="4"/>
  <c r="Y117" i="4" s="1"/>
  <c r="E117" i="4"/>
  <c r="Z117" i="4" s="1"/>
  <c r="F117" i="4"/>
  <c r="AA117" i="4" s="1"/>
  <c r="G117" i="4"/>
  <c r="AB117" i="4" s="1"/>
  <c r="H117" i="4"/>
  <c r="AC117" i="4" s="1"/>
  <c r="I117" i="4"/>
  <c r="AD117" i="4" s="1"/>
  <c r="J117" i="4"/>
  <c r="AE117" i="4" s="1"/>
  <c r="C118" i="4"/>
  <c r="D118" i="4"/>
  <c r="Y118" i="4" s="1"/>
  <c r="E118" i="4"/>
  <c r="Z118" i="4" s="1"/>
  <c r="F118" i="4"/>
  <c r="AA118" i="4" s="1"/>
  <c r="G118" i="4"/>
  <c r="AB118" i="4" s="1"/>
  <c r="H118" i="4"/>
  <c r="AC118" i="4" s="1"/>
  <c r="I118" i="4"/>
  <c r="AD118" i="4" s="1"/>
  <c r="J118" i="4"/>
  <c r="AE118" i="4" s="1"/>
  <c r="D109" i="4"/>
  <c r="Y109" i="4" s="1"/>
  <c r="E109" i="4"/>
  <c r="Z109" i="4" s="1"/>
  <c r="F109" i="4"/>
  <c r="AA109" i="4" s="1"/>
  <c r="G109" i="4"/>
  <c r="AB109" i="4" s="1"/>
  <c r="H109" i="4"/>
  <c r="AC109" i="4" s="1"/>
  <c r="I109" i="4"/>
  <c r="AD109" i="4" s="1"/>
  <c r="J109" i="4"/>
  <c r="AE109" i="4" s="1"/>
  <c r="C109" i="4"/>
  <c r="K102" i="4"/>
  <c r="AF102" i="4" s="1"/>
  <c r="L102" i="4"/>
  <c r="AG102" i="4" s="1"/>
  <c r="M102" i="4"/>
  <c r="AH102" i="4" s="1"/>
  <c r="N102" i="4"/>
  <c r="AI102" i="4" s="1"/>
  <c r="O102" i="4"/>
  <c r="AJ102" i="4" s="1"/>
  <c r="P102" i="4"/>
  <c r="AK102" i="4" s="1"/>
  <c r="Q102" i="4"/>
  <c r="AL102" i="4" s="1"/>
  <c r="R102" i="4"/>
  <c r="AM102" i="4" s="1"/>
  <c r="S102" i="4"/>
  <c r="T102" i="4"/>
  <c r="AO102" i="4" s="1"/>
  <c r="K103" i="4"/>
  <c r="AF103" i="4" s="1"/>
  <c r="L103" i="4"/>
  <c r="AG103" i="4" s="1"/>
  <c r="M103" i="4"/>
  <c r="AH103" i="4" s="1"/>
  <c r="N103" i="4"/>
  <c r="AI103" i="4" s="1"/>
  <c r="O103" i="4"/>
  <c r="AJ103" i="4" s="1"/>
  <c r="P103" i="4"/>
  <c r="AK103" i="4" s="1"/>
  <c r="Q103" i="4"/>
  <c r="AL103" i="4" s="1"/>
  <c r="R103" i="4"/>
  <c r="AM103" i="4" s="1"/>
  <c r="S103" i="4"/>
  <c r="T103" i="4"/>
  <c r="AO103" i="4" s="1"/>
  <c r="K104" i="4"/>
  <c r="AF104" i="4" s="1"/>
  <c r="L104" i="4"/>
  <c r="AG104" i="4" s="1"/>
  <c r="M104" i="4"/>
  <c r="AH104" i="4" s="1"/>
  <c r="N104" i="4"/>
  <c r="AI104" i="4" s="1"/>
  <c r="O104" i="4"/>
  <c r="AJ104" i="4" s="1"/>
  <c r="P104" i="4"/>
  <c r="AK104" i="4" s="1"/>
  <c r="Q104" i="4"/>
  <c r="AL104" i="4" s="1"/>
  <c r="R104" i="4"/>
  <c r="AM104" i="4" s="1"/>
  <c r="S104" i="4"/>
  <c r="T104" i="4"/>
  <c r="AO104" i="4" s="1"/>
  <c r="K105" i="4"/>
  <c r="AF105" i="4" s="1"/>
  <c r="L105" i="4"/>
  <c r="AG105" i="4" s="1"/>
  <c r="M105" i="4"/>
  <c r="AH105" i="4" s="1"/>
  <c r="N105" i="4"/>
  <c r="AI105" i="4" s="1"/>
  <c r="O105" i="4"/>
  <c r="AJ105" i="4" s="1"/>
  <c r="P105" i="4"/>
  <c r="AK105" i="4" s="1"/>
  <c r="Q105" i="4"/>
  <c r="AL105" i="4" s="1"/>
  <c r="R105" i="4"/>
  <c r="AM105" i="4" s="1"/>
  <c r="S105" i="4"/>
  <c r="T105" i="4"/>
  <c r="AO105" i="4" s="1"/>
  <c r="K106" i="4"/>
  <c r="AF106" i="4" s="1"/>
  <c r="L106" i="4"/>
  <c r="AG106" i="4" s="1"/>
  <c r="M106" i="4"/>
  <c r="AH106" i="4" s="1"/>
  <c r="N106" i="4"/>
  <c r="AI106" i="4" s="1"/>
  <c r="O106" i="4"/>
  <c r="AJ106" i="4" s="1"/>
  <c r="P106" i="4"/>
  <c r="AK106" i="4" s="1"/>
  <c r="Q106" i="4"/>
  <c r="AL106" i="4" s="1"/>
  <c r="R106" i="4"/>
  <c r="AM106" i="4" s="1"/>
  <c r="S106" i="4"/>
  <c r="T106" i="4"/>
  <c r="AO106" i="4" s="1"/>
  <c r="K107" i="4"/>
  <c r="AF107" i="4" s="1"/>
  <c r="L107" i="4"/>
  <c r="AG107" i="4" s="1"/>
  <c r="M107" i="4"/>
  <c r="AH107" i="4" s="1"/>
  <c r="N107" i="4"/>
  <c r="AI107" i="4" s="1"/>
  <c r="O107" i="4"/>
  <c r="AJ107" i="4" s="1"/>
  <c r="P107" i="4"/>
  <c r="AK107" i="4" s="1"/>
  <c r="Q107" i="4"/>
  <c r="AL107" i="4" s="1"/>
  <c r="R107" i="4"/>
  <c r="AM107" i="4" s="1"/>
  <c r="S107" i="4"/>
  <c r="T107" i="4"/>
  <c r="AO107" i="4" s="1"/>
  <c r="K108" i="4"/>
  <c r="AF108" i="4" s="1"/>
  <c r="L108" i="4"/>
  <c r="AG108" i="4" s="1"/>
  <c r="M108" i="4"/>
  <c r="AH108" i="4" s="1"/>
  <c r="N108" i="4"/>
  <c r="AI108" i="4" s="1"/>
  <c r="O108" i="4"/>
  <c r="AJ108" i="4" s="1"/>
  <c r="P108" i="4"/>
  <c r="AK108" i="4" s="1"/>
  <c r="Q108" i="4"/>
  <c r="AL108" i="4" s="1"/>
  <c r="R108" i="4"/>
  <c r="AM108" i="4" s="1"/>
  <c r="S108" i="4"/>
  <c r="T108" i="4"/>
  <c r="AO108" i="4" s="1"/>
  <c r="L101" i="4"/>
  <c r="AG101" i="4" s="1"/>
  <c r="M101" i="4"/>
  <c r="AH101" i="4" s="1"/>
  <c r="N101" i="4"/>
  <c r="AI101" i="4" s="1"/>
  <c r="O101" i="4"/>
  <c r="AJ101" i="4" s="1"/>
  <c r="P101" i="4"/>
  <c r="AK101" i="4" s="1"/>
  <c r="Q101" i="4"/>
  <c r="AL101" i="4" s="1"/>
  <c r="R101" i="4"/>
  <c r="AM101" i="4" s="1"/>
  <c r="S101" i="4"/>
  <c r="T101" i="4"/>
  <c r="AO101" i="4" s="1"/>
  <c r="K101" i="4"/>
  <c r="AF101" i="4" s="1"/>
  <c r="C102" i="4"/>
  <c r="D102" i="4"/>
  <c r="Y102" i="4" s="1"/>
  <c r="E102" i="4"/>
  <c r="Z102" i="4" s="1"/>
  <c r="F102" i="4"/>
  <c r="AA102" i="4" s="1"/>
  <c r="G102" i="4"/>
  <c r="AB102" i="4" s="1"/>
  <c r="H102" i="4"/>
  <c r="AC102" i="4" s="1"/>
  <c r="I102" i="4"/>
  <c r="AD102" i="4" s="1"/>
  <c r="J102" i="4"/>
  <c r="AE102" i="4" s="1"/>
  <c r="C103" i="4"/>
  <c r="D103" i="4"/>
  <c r="Y103" i="4" s="1"/>
  <c r="E103" i="4"/>
  <c r="Z103" i="4" s="1"/>
  <c r="F103" i="4"/>
  <c r="AA103" i="4" s="1"/>
  <c r="G103" i="4"/>
  <c r="AB103" i="4" s="1"/>
  <c r="H103" i="4"/>
  <c r="AC103" i="4" s="1"/>
  <c r="I103" i="4"/>
  <c r="AD103" i="4" s="1"/>
  <c r="J103" i="4"/>
  <c r="AE103" i="4" s="1"/>
  <c r="C104" i="4"/>
  <c r="D104" i="4"/>
  <c r="Y104" i="4" s="1"/>
  <c r="E104" i="4"/>
  <c r="Z104" i="4" s="1"/>
  <c r="F104" i="4"/>
  <c r="AA104" i="4" s="1"/>
  <c r="G104" i="4"/>
  <c r="AB104" i="4" s="1"/>
  <c r="H104" i="4"/>
  <c r="AC104" i="4" s="1"/>
  <c r="I104" i="4"/>
  <c r="AD104" i="4" s="1"/>
  <c r="J104" i="4"/>
  <c r="AE104" i="4" s="1"/>
  <c r="C105" i="4"/>
  <c r="D105" i="4"/>
  <c r="Y105" i="4" s="1"/>
  <c r="E105" i="4"/>
  <c r="Z105" i="4" s="1"/>
  <c r="F105" i="4"/>
  <c r="AA105" i="4" s="1"/>
  <c r="G105" i="4"/>
  <c r="AB105" i="4" s="1"/>
  <c r="H105" i="4"/>
  <c r="AC105" i="4" s="1"/>
  <c r="I105" i="4"/>
  <c r="AD105" i="4" s="1"/>
  <c r="J105" i="4"/>
  <c r="AE105" i="4" s="1"/>
  <c r="C106" i="4"/>
  <c r="D106" i="4"/>
  <c r="Y106" i="4" s="1"/>
  <c r="E106" i="4"/>
  <c r="Z106" i="4" s="1"/>
  <c r="F106" i="4"/>
  <c r="AA106" i="4" s="1"/>
  <c r="G106" i="4"/>
  <c r="AB106" i="4" s="1"/>
  <c r="H106" i="4"/>
  <c r="AC106" i="4" s="1"/>
  <c r="I106" i="4"/>
  <c r="AD106" i="4" s="1"/>
  <c r="J106" i="4"/>
  <c r="AE106" i="4" s="1"/>
  <c r="C107" i="4"/>
  <c r="D107" i="4"/>
  <c r="Y107" i="4" s="1"/>
  <c r="E107" i="4"/>
  <c r="Z107" i="4" s="1"/>
  <c r="F107" i="4"/>
  <c r="AA107" i="4" s="1"/>
  <c r="G107" i="4"/>
  <c r="AB107" i="4" s="1"/>
  <c r="H107" i="4"/>
  <c r="AC107" i="4" s="1"/>
  <c r="I107" i="4"/>
  <c r="AD107" i="4" s="1"/>
  <c r="J107" i="4"/>
  <c r="AE107" i="4" s="1"/>
  <c r="C108" i="4"/>
  <c r="D108" i="4"/>
  <c r="Y108" i="4" s="1"/>
  <c r="E108" i="4"/>
  <c r="Z108" i="4" s="1"/>
  <c r="F108" i="4"/>
  <c r="AA108" i="4" s="1"/>
  <c r="G108" i="4"/>
  <c r="AB108" i="4" s="1"/>
  <c r="H108" i="4"/>
  <c r="AC108" i="4" s="1"/>
  <c r="I108" i="4"/>
  <c r="AD108" i="4" s="1"/>
  <c r="J108" i="4"/>
  <c r="AE108" i="4" s="1"/>
  <c r="D101" i="4"/>
  <c r="Y101" i="4" s="1"/>
  <c r="E101" i="4"/>
  <c r="Z101" i="4" s="1"/>
  <c r="F101" i="4"/>
  <c r="AA101" i="4" s="1"/>
  <c r="G101" i="4"/>
  <c r="AB101" i="4" s="1"/>
  <c r="H101" i="4"/>
  <c r="AC101" i="4" s="1"/>
  <c r="I101" i="4"/>
  <c r="AD101" i="4" s="1"/>
  <c r="J101" i="4"/>
  <c r="AE101" i="4" s="1"/>
  <c r="C101" i="4"/>
  <c r="K86" i="4"/>
  <c r="AF86" i="4" s="1"/>
  <c r="L86" i="4"/>
  <c r="AG86" i="4" s="1"/>
  <c r="M86" i="4"/>
  <c r="AH86" i="4" s="1"/>
  <c r="N86" i="4"/>
  <c r="AI86" i="4" s="1"/>
  <c r="O86" i="4"/>
  <c r="AJ86" i="4" s="1"/>
  <c r="P86" i="4"/>
  <c r="AK86" i="4" s="1"/>
  <c r="Q86" i="4"/>
  <c r="AL86" i="4" s="1"/>
  <c r="R86" i="4"/>
  <c r="AM86" i="4" s="1"/>
  <c r="S86" i="4"/>
  <c r="T86" i="4"/>
  <c r="AO86" i="4" s="1"/>
  <c r="K87" i="4"/>
  <c r="AF87" i="4" s="1"/>
  <c r="L87" i="4"/>
  <c r="AG87" i="4" s="1"/>
  <c r="M87" i="4"/>
  <c r="AH87" i="4" s="1"/>
  <c r="N87" i="4"/>
  <c r="AI87" i="4" s="1"/>
  <c r="O87" i="4"/>
  <c r="AJ87" i="4" s="1"/>
  <c r="P87" i="4"/>
  <c r="AK87" i="4" s="1"/>
  <c r="Q87" i="4"/>
  <c r="AL87" i="4" s="1"/>
  <c r="R87" i="4"/>
  <c r="AM87" i="4" s="1"/>
  <c r="S87" i="4"/>
  <c r="T87" i="4"/>
  <c r="AO87" i="4" s="1"/>
  <c r="K88" i="4"/>
  <c r="AF88" i="4" s="1"/>
  <c r="L88" i="4"/>
  <c r="AG88" i="4" s="1"/>
  <c r="M88" i="4"/>
  <c r="AH88" i="4" s="1"/>
  <c r="N88" i="4"/>
  <c r="AI88" i="4" s="1"/>
  <c r="O88" i="4"/>
  <c r="AJ88" i="4" s="1"/>
  <c r="P88" i="4"/>
  <c r="AK88" i="4" s="1"/>
  <c r="Q88" i="4"/>
  <c r="AL88" i="4" s="1"/>
  <c r="R88" i="4"/>
  <c r="AM88" i="4" s="1"/>
  <c r="S88" i="4"/>
  <c r="T88" i="4"/>
  <c r="AO88" i="4" s="1"/>
  <c r="K89" i="4"/>
  <c r="AF89" i="4" s="1"/>
  <c r="L89" i="4"/>
  <c r="AG89" i="4" s="1"/>
  <c r="M89" i="4"/>
  <c r="AH89" i="4" s="1"/>
  <c r="N89" i="4"/>
  <c r="AI89" i="4" s="1"/>
  <c r="O89" i="4"/>
  <c r="AJ89" i="4" s="1"/>
  <c r="P89" i="4"/>
  <c r="AK89" i="4" s="1"/>
  <c r="Q89" i="4"/>
  <c r="AL89" i="4" s="1"/>
  <c r="R89" i="4"/>
  <c r="AM89" i="4" s="1"/>
  <c r="S89" i="4"/>
  <c r="T89" i="4"/>
  <c r="AO89" i="4" s="1"/>
  <c r="K90" i="4"/>
  <c r="AF90" i="4" s="1"/>
  <c r="L90" i="4"/>
  <c r="AG90" i="4" s="1"/>
  <c r="M90" i="4"/>
  <c r="AH90" i="4" s="1"/>
  <c r="N90" i="4"/>
  <c r="AI90" i="4" s="1"/>
  <c r="O90" i="4"/>
  <c r="AJ90" i="4" s="1"/>
  <c r="P90" i="4"/>
  <c r="AK90" i="4" s="1"/>
  <c r="Q90" i="4"/>
  <c r="AL90" i="4" s="1"/>
  <c r="R90" i="4"/>
  <c r="AM90" i="4" s="1"/>
  <c r="S90" i="4"/>
  <c r="T90" i="4"/>
  <c r="AO90" i="4" s="1"/>
  <c r="K91" i="4"/>
  <c r="AF91" i="4" s="1"/>
  <c r="L91" i="4"/>
  <c r="AG91" i="4" s="1"/>
  <c r="M91" i="4"/>
  <c r="AH91" i="4" s="1"/>
  <c r="N91" i="4"/>
  <c r="AI91" i="4" s="1"/>
  <c r="O91" i="4"/>
  <c r="AJ91" i="4" s="1"/>
  <c r="P91" i="4"/>
  <c r="AK91" i="4" s="1"/>
  <c r="Q91" i="4"/>
  <c r="AL91" i="4" s="1"/>
  <c r="R91" i="4"/>
  <c r="AM91" i="4" s="1"/>
  <c r="S91" i="4"/>
  <c r="T91" i="4"/>
  <c r="AO91" i="4" s="1"/>
  <c r="K92" i="4"/>
  <c r="AF92" i="4" s="1"/>
  <c r="L92" i="4"/>
  <c r="AG92" i="4" s="1"/>
  <c r="M92" i="4"/>
  <c r="AH92" i="4" s="1"/>
  <c r="N92" i="4"/>
  <c r="AI92" i="4" s="1"/>
  <c r="O92" i="4"/>
  <c r="AJ92" i="4" s="1"/>
  <c r="P92" i="4"/>
  <c r="AK92" i="4" s="1"/>
  <c r="Q92" i="4"/>
  <c r="AL92" i="4" s="1"/>
  <c r="R92" i="4"/>
  <c r="AM92" i="4" s="1"/>
  <c r="S92" i="4"/>
  <c r="T92" i="4"/>
  <c r="AO92" i="4" s="1"/>
  <c r="K93" i="4"/>
  <c r="AF93" i="4" s="1"/>
  <c r="L93" i="4"/>
  <c r="AG93" i="4" s="1"/>
  <c r="M93" i="4"/>
  <c r="AH93" i="4" s="1"/>
  <c r="N93" i="4"/>
  <c r="AI93" i="4" s="1"/>
  <c r="O93" i="4"/>
  <c r="AJ93" i="4" s="1"/>
  <c r="P93" i="4"/>
  <c r="AK93" i="4" s="1"/>
  <c r="Q93" i="4"/>
  <c r="AL93" i="4" s="1"/>
  <c r="R93" i="4"/>
  <c r="AM93" i="4" s="1"/>
  <c r="S93" i="4"/>
  <c r="T93" i="4"/>
  <c r="AO93" i="4" s="1"/>
  <c r="K94" i="4"/>
  <c r="AF94" i="4" s="1"/>
  <c r="L94" i="4"/>
  <c r="AG94" i="4" s="1"/>
  <c r="M94" i="4"/>
  <c r="AH94" i="4" s="1"/>
  <c r="N94" i="4"/>
  <c r="AI94" i="4" s="1"/>
  <c r="O94" i="4"/>
  <c r="AJ94" i="4" s="1"/>
  <c r="P94" i="4"/>
  <c r="AK94" i="4" s="1"/>
  <c r="Q94" i="4"/>
  <c r="AL94" i="4" s="1"/>
  <c r="R94" i="4"/>
  <c r="AM94" i="4" s="1"/>
  <c r="S94" i="4"/>
  <c r="T94" i="4"/>
  <c r="AO94" i="4" s="1"/>
  <c r="K95" i="4"/>
  <c r="AF95" i="4" s="1"/>
  <c r="L95" i="4"/>
  <c r="AG95" i="4" s="1"/>
  <c r="M95" i="4"/>
  <c r="AH95" i="4" s="1"/>
  <c r="N95" i="4"/>
  <c r="AI95" i="4" s="1"/>
  <c r="O95" i="4"/>
  <c r="AJ95" i="4" s="1"/>
  <c r="P95" i="4"/>
  <c r="AK95" i="4" s="1"/>
  <c r="Q95" i="4"/>
  <c r="AL95" i="4" s="1"/>
  <c r="R95" i="4"/>
  <c r="AM95" i="4" s="1"/>
  <c r="S95" i="4"/>
  <c r="T95" i="4"/>
  <c r="AO95" i="4" s="1"/>
  <c r="K96" i="4"/>
  <c r="AF96" i="4" s="1"/>
  <c r="L96" i="4"/>
  <c r="AG96" i="4" s="1"/>
  <c r="M96" i="4"/>
  <c r="AH96" i="4" s="1"/>
  <c r="N96" i="4"/>
  <c r="AI96" i="4" s="1"/>
  <c r="O96" i="4"/>
  <c r="AJ96" i="4" s="1"/>
  <c r="P96" i="4"/>
  <c r="AK96" i="4" s="1"/>
  <c r="Q96" i="4"/>
  <c r="AL96" i="4" s="1"/>
  <c r="R96" i="4"/>
  <c r="AM96" i="4" s="1"/>
  <c r="S96" i="4"/>
  <c r="T96" i="4"/>
  <c r="AO96" i="4" s="1"/>
  <c r="K97" i="4"/>
  <c r="AF97" i="4" s="1"/>
  <c r="L97" i="4"/>
  <c r="AG97" i="4" s="1"/>
  <c r="M97" i="4"/>
  <c r="AH97" i="4" s="1"/>
  <c r="N97" i="4"/>
  <c r="AI97" i="4" s="1"/>
  <c r="O97" i="4"/>
  <c r="AJ97" i="4" s="1"/>
  <c r="P97" i="4"/>
  <c r="AK97" i="4" s="1"/>
  <c r="Q97" i="4"/>
  <c r="AL97" i="4" s="1"/>
  <c r="R97" i="4"/>
  <c r="AM97" i="4" s="1"/>
  <c r="S97" i="4"/>
  <c r="T97" i="4"/>
  <c r="AO97" i="4" s="1"/>
  <c r="K98" i="4"/>
  <c r="AF98" i="4" s="1"/>
  <c r="L98" i="4"/>
  <c r="AG98" i="4" s="1"/>
  <c r="M98" i="4"/>
  <c r="AH98" i="4" s="1"/>
  <c r="N98" i="4"/>
  <c r="AI98" i="4" s="1"/>
  <c r="O98" i="4"/>
  <c r="AJ98" i="4" s="1"/>
  <c r="P98" i="4"/>
  <c r="AK98" i="4" s="1"/>
  <c r="Q98" i="4"/>
  <c r="AL98" i="4" s="1"/>
  <c r="R98" i="4"/>
  <c r="AM98" i="4" s="1"/>
  <c r="S98" i="4"/>
  <c r="T98" i="4"/>
  <c r="AO98" i="4" s="1"/>
  <c r="K99" i="4"/>
  <c r="AF99" i="4" s="1"/>
  <c r="L99" i="4"/>
  <c r="AG99" i="4" s="1"/>
  <c r="M99" i="4"/>
  <c r="AH99" i="4" s="1"/>
  <c r="N99" i="4"/>
  <c r="AI99" i="4" s="1"/>
  <c r="O99" i="4"/>
  <c r="AJ99" i="4" s="1"/>
  <c r="P99" i="4"/>
  <c r="AK99" i="4" s="1"/>
  <c r="Q99" i="4"/>
  <c r="AL99" i="4" s="1"/>
  <c r="R99" i="4"/>
  <c r="AM99" i="4" s="1"/>
  <c r="S99" i="4"/>
  <c r="T99" i="4"/>
  <c r="AO99" i="4" s="1"/>
  <c r="K100" i="4"/>
  <c r="AF100" i="4" s="1"/>
  <c r="L100" i="4"/>
  <c r="AG100" i="4" s="1"/>
  <c r="M100" i="4"/>
  <c r="AH100" i="4" s="1"/>
  <c r="N100" i="4"/>
  <c r="AI100" i="4" s="1"/>
  <c r="O100" i="4"/>
  <c r="AJ100" i="4" s="1"/>
  <c r="P100" i="4"/>
  <c r="AK100" i="4" s="1"/>
  <c r="Q100" i="4"/>
  <c r="AL100" i="4" s="1"/>
  <c r="R100" i="4"/>
  <c r="AM100" i="4" s="1"/>
  <c r="S100" i="4"/>
  <c r="T100" i="4"/>
  <c r="AO100" i="4" s="1"/>
  <c r="L85" i="4"/>
  <c r="AG85" i="4" s="1"/>
  <c r="M85" i="4"/>
  <c r="AH85" i="4" s="1"/>
  <c r="N85" i="4"/>
  <c r="AI85" i="4" s="1"/>
  <c r="O85" i="4"/>
  <c r="AJ85" i="4" s="1"/>
  <c r="P85" i="4"/>
  <c r="AK85" i="4" s="1"/>
  <c r="Q85" i="4"/>
  <c r="AL85" i="4" s="1"/>
  <c r="R85" i="4"/>
  <c r="AM85" i="4" s="1"/>
  <c r="S85" i="4"/>
  <c r="T85" i="4"/>
  <c r="AO85" i="4" s="1"/>
  <c r="K85" i="4"/>
  <c r="AF85" i="4" s="1"/>
  <c r="C86" i="4"/>
  <c r="D86" i="4"/>
  <c r="Y86" i="4" s="1"/>
  <c r="E86" i="4"/>
  <c r="Z86" i="4" s="1"/>
  <c r="F86" i="4"/>
  <c r="AA86" i="4" s="1"/>
  <c r="G86" i="4"/>
  <c r="AB86" i="4" s="1"/>
  <c r="H86" i="4"/>
  <c r="AC86" i="4" s="1"/>
  <c r="I86" i="4"/>
  <c r="AD86" i="4" s="1"/>
  <c r="J86" i="4"/>
  <c r="AE86" i="4" s="1"/>
  <c r="C87" i="4"/>
  <c r="D87" i="4"/>
  <c r="Y87" i="4" s="1"/>
  <c r="E87" i="4"/>
  <c r="Z87" i="4" s="1"/>
  <c r="F87" i="4"/>
  <c r="AA87" i="4" s="1"/>
  <c r="G87" i="4"/>
  <c r="AB87" i="4" s="1"/>
  <c r="H87" i="4"/>
  <c r="AC87" i="4" s="1"/>
  <c r="I87" i="4"/>
  <c r="AD87" i="4" s="1"/>
  <c r="J87" i="4"/>
  <c r="AE87" i="4" s="1"/>
  <c r="C88" i="4"/>
  <c r="D88" i="4"/>
  <c r="Y88" i="4" s="1"/>
  <c r="E88" i="4"/>
  <c r="Z88" i="4" s="1"/>
  <c r="F88" i="4"/>
  <c r="AA88" i="4" s="1"/>
  <c r="G88" i="4"/>
  <c r="AB88" i="4" s="1"/>
  <c r="H88" i="4"/>
  <c r="AC88" i="4" s="1"/>
  <c r="I88" i="4"/>
  <c r="AD88" i="4" s="1"/>
  <c r="J88" i="4"/>
  <c r="AE88" i="4" s="1"/>
  <c r="C89" i="4"/>
  <c r="D89" i="4"/>
  <c r="Y89" i="4" s="1"/>
  <c r="E89" i="4"/>
  <c r="Z89" i="4" s="1"/>
  <c r="F89" i="4"/>
  <c r="AA89" i="4" s="1"/>
  <c r="G89" i="4"/>
  <c r="AB89" i="4" s="1"/>
  <c r="H89" i="4"/>
  <c r="AC89" i="4" s="1"/>
  <c r="I89" i="4"/>
  <c r="AD89" i="4" s="1"/>
  <c r="J89" i="4"/>
  <c r="AE89" i="4" s="1"/>
  <c r="C90" i="4"/>
  <c r="D90" i="4"/>
  <c r="Y90" i="4" s="1"/>
  <c r="E90" i="4"/>
  <c r="Z90" i="4" s="1"/>
  <c r="F90" i="4"/>
  <c r="AA90" i="4" s="1"/>
  <c r="G90" i="4"/>
  <c r="AB90" i="4" s="1"/>
  <c r="H90" i="4"/>
  <c r="AC90" i="4" s="1"/>
  <c r="I90" i="4"/>
  <c r="AD90" i="4" s="1"/>
  <c r="J90" i="4"/>
  <c r="AE90" i="4" s="1"/>
  <c r="C91" i="4"/>
  <c r="D91" i="4"/>
  <c r="Y91" i="4" s="1"/>
  <c r="E91" i="4"/>
  <c r="Z91" i="4" s="1"/>
  <c r="F91" i="4"/>
  <c r="AA91" i="4" s="1"/>
  <c r="G91" i="4"/>
  <c r="AB91" i="4" s="1"/>
  <c r="H91" i="4"/>
  <c r="AC91" i="4" s="1"/>
  <c r="I91" i="4"/>
  <c r="AD91" i="4" s="1"/>
  <c r="J91" i="4"/>
  <c r="AE91" i="4" s="1"/>
  <c r="C92" i="4"/>
  <c r="D92" i="4"/>
  <c r="Y92" i="4" s="1"/>
  <c r="E92" i="4"/>
  <c r="Z92" i="4" s="1"/>
  <c r="F92" i="4"/>
  <c r="AA92" i="4" s="1"/>
  <c r="G92" i="4"/>
  <c r="AB92" i="4" s="1"/>
  <c r="H92" i="4"/>
  <c r="AC92" i="4" s="1"/>
  <c r="I92" i="4"/>
  <c r="AD92" i="4" s="1"/>
  <c r="J92" i="4"/>
  <c r="AE92" i="4" s="1"/>
  <c r="C93" i="4"/>
  <c r="D93" i="4"/>
  <c r="Y93" i="4" s="1"/>
  <c r="E93" i="4"/>
  <c r="Z93" i="4" s="1"/>
  <c r="F93" i="4"/>
  <c r="AA93" i="4" s="1"/>
  <c r="G93" i="4"/>
  <c r="AB93" i="4" s="1"/>
  <c r="H93" i="4"/>
  <c r="AC93" i="4" s="1"/>
  <c r="I93" i="4"/>
  <c r="AD93" i="4" s="1"/>
  <c r="J93" i="4"/>
  <c r="AE93" i="4" s="1"/>
  <c r="C94" i="4"/>
  <c r="D94" i="4"/>
  <c r="Y94" i="4" s="1"/>
  <c r="E94" i="4"/>
  <c r="Z94" i="4" s="1"/>
  <c r="F94" i="4"/>
  <c r="AA94" i="4" s="1"/>
  <c r="G94" i="4"/>
  <c r="AB94" i="4" s="1"/>
  <c r="H94" i="4"/>
  <c r="AC94" i="4" s="1"/>
  <c r="I94" i="4"/>
  <c r="AD94" i="4" s="1"/>
  <c r="J94" i="4"/>
  <c r="AE94" i="4" s="1"/>
  <c r="C95" i="4"/>
  <c r="D95" i="4"/>
  <c r="Y95" i="4" s="1"/>
  <c r="E95" i="4"/>
  <c r="Z95" i="4" s="1"/>
  <c r="F95" i="4"/>
  <c r="AA95" i="4" s="1"/>
  <c r="G95" i="4"/>
  <c r="AB95" i="4" s="1"/>
  <c r="H95" i="4"/>
  <c r="AC95" i="4" s="1"/>
  <c r="I95" i="4"/>
  <c r="AD95" i="4" s="1"/>
  <c r="J95" i="4"/>
  <c r="AE95" i="4" s="1"/>
  <c r="C96" i="4"/>
  <c r="D96" i="4"/>
  <c r="Y96" i="4" s="1"/>
  <c r="E96" i="4"/>
  <c r="Z96" i="4" s="1"/>
  <c r="F96" i="4"/>
  <c r="AA96" i="4" s="1"/>
  <c r="G96" i="4"/>
  <c r="AB96" i="4" s="1"/>
  <c r="H96" i="4"/>
  <c r="AC96" i="4" s="1"/>
  <c r="I96" i="4"/>
  <c r="AD96" i="4" s="1"/>
  <c r="J96" i="4"/>
  <c r="AE96" i="4" s="1"/>
  <c r="C97" i="4"/>
  <c r="D97" i="4"/>
  <c r="Y97" i="4" s="1"/>
  <c r="E97" i="4"/>
  <c r="Z97" i="4" s="1"/>
  <c r="F97" i="4"/>
  <c r="AA97" i="4" s="1"/>
  <c r="G97" i="4"/>
  <c r="AB97" i="4" s="1"/>
  <c r="H97" i="4"/>
  <c r="AC97" i="4" s="1"/>
  <c r="I97" i="4"/>
  <c r="AD97" i="4" s="1"/>
  <c r="J97" i="4"/>
  <c r="AE97" i="4" s="1"/>
  <c r="C98" i="4"/>
  <c r="D98" i="4"/>
  <c r="Y98" i="4" s="1"/>
  <c r="E98" i="4"/>
  <c r="Z98" i="4" s="1"/>
  <c r="F98" i="4"/>
  <c r="AA98" i="4" s="1"/>
  <c r="G98" i="4"/>
  <c r="AB98" i="4" s="1"/>
  <c r="H98" i="4"/>
  <c r="AC98" i="4" s="1"/>
  <c r="I98" i="4"/>
  <c r="AD98" i="4" s="1"/>
  <c r="J98" i="4"/>
  <c r="AE98" i="4" s="1"/>
  <c r="C99" i="4"/>
  <c r="D99" i="4"/>
  <c r="Y99" i="4" s="1"/>
  <c r="E99" i="4"/>
  <c r="Z99" i="4" s="1"/>
  <c r="F99" i="4"/>
  <c r="AA99" i="4" s="1"/>
  <c r="G99" i="4"/>
  <c r="AB99" i="4" s="1"/>
  <c r="H99" i="4"/>
  <c r="AC99" i="4" s="1"/>
  <c r="I99" i="4"/>
  <c r="AD99" i="4" s="1"/>
  <c r="J99" i="4"/>
  <c r="AE99" i="4" s="1"/>
  <c r="C100" i="4"/>
  <c r="D100" i="4"/>
  <c r="Y100" i="4" s="1"/>
  <c r="E100" i="4"/>
  <c r="Z100" i="4" s="1"/>
  <c r="F100" i="4"/>
  <c r="AA100" i="4" s="1"/>
  <c r="G100" i="4"/>
  <c r="AB100" i="4" s="1"/>
  <c r="H100" i="4"/>
  <c r="AC100" i="4" s="1"/>
  <c r="I100" i="4"/>
  <c r="AD100" i="4" s="1"/>
  <c r="J100" i="4"/>
  <c r="AE100" i="4" s="1"/>
  <c r="D85" i="4"/>
  <c r="Y85" i="4" s="1"/>
  <c r="E85" i="4"/>
  <c r="Z85" i="4" s="1"/>
  <c r="F85" i="4"/>
  <c r="AA85" i="4" s="1"/>
  <c r="G85" i="4"/>
  <c r="AB85" i="4" s="1"/>
  <c r="H85" i="4"/>
  <c r="AC85" i="4" s="1"/>
  <c r="I85" i="4"/>
  <c r="AD85" i="4" s="1"/>
  <c r="J85" i="4"/>
  <c r="AE85" i="4" s="1"/>
  <c r="C85" i="4"/>
  <c r="K65" i="4"/>
  <c r="AF65" i="4" s="1"/>
  <c r="L65" i="4"/>
  <c r="AG65" i="4" s="1"/>
  <c r="M65" i="4"/>
  <c r="AH65" i="4" s="1"/>
  <c r="N65" i="4"/>
  <c r="AI65" i="4" s="1"/>
  <c r="O65" i="4"/>
  <c r="AJ65" i="4" s="1"/>
  <c r="P65" i="4"/>
  <c r="AK65" i="4" s="1"/>
  <c r="Q65" i="4"/>
  <c r="AL65" i="4" s="1"/>
  <c r="R65" i="4"/>
  <c r="AM65" i="4" s="1"/>
  <c r="S65" i="4"/>
  <c r="T65" i="4"/>
  <c r="AO65" i="4" s="1"/>
  <c r="K66" i="4"/>
  <c r="AF66" i="4" s="1"/>
  <c r="L66" i="4"/>
  <c r="AG66" i="4" s="1"/>
  <c r="M66" i="4"/>
  <c r="AH66" i="4" s="1"/>
  <c r="N66" i="4"/>
  <c r="AI66" i="4" s="1"/>
  <c r="O66" i="4"/>
  <c r="AJ66" i="4" s="1"/>
  <c r="P66" i="4"/>
  <c r="AK66" i="4" s="1"/>
  <c r="Q66" i="4"/>
  <c r="AL66" i="4" s="1"/>
  <c r="R66" i="4"/>
  <c r="AM66" i="4" s="1"/>
  <c r="S66" i="4"/>
  <c r="T66" i="4"/>
  <c r="AO66" i="4" s="1"/>
  <c r="K67" i="4"/>
  <c r="AF67" i="4" s="1"/>
  <c r="L67" i="4"/>
  <c r="AG67" i="4" s="1"/>
  <c r="M67" i="4"/>
  <c r="AH67" i="4" s="1"/>
  <c r="N67" i="4"/>
  <c r="AI67" i="4" s="1"/>
  <c r="O67" i="4"/>
  <c r="AJ67" i="4" s="1"/>
  <c r="P67" i="4"/>
  <c r="AK67" i="4" s="1"/>
  <c r="Q67" i="4"/>
  <c r="AL67" i="4" s="1"/>
  <c r="R67" i="4"/>
  <c r="AM67" i="4" s="1"/>
  <c r="S67" i="4"/>
  <c r="T67" i="4"/>
  <c r="AO67" i="4" s="1"/>
  <c r="K68" i="4"/>
  <c r="AF68" i="4" s="1"/>
  <c r="L68" i="4"/>
  <c r="AG68" i="4" s="1"/>
  <c r="M68" i="4"/>
  <c r="AH68" i="4" s="1"/>
  <c r="N68" i="4"/>
  <c r="AI68" i="4" s="1"/>
  <c r="O68" i="4"/>
  <c r="AJ68" i="4" s="1"/>
  <c r="P68" i="4"/>
  <c r="AK68" i="4" s="1"/>
  <c r="Q68" i="4"/>
  <c r="AL68" i="4" s="1"/>
  <c r="R68" i="4"/>
  <c r="AM68" i="4" s="1"/>
  <c r="S68" i="4"/>
  <c r="T68" i="4"/>
  <c r="AO68" i="4" s="1"/>
  <c r="K69" i="4"/>
  <c r="AF69" i="4" s="1"/>
  <c r="L69" i="4"/>
  <c r="AG69" i="4" s="1"/>
  <c r="M69" i="4"/>
  <c r="AH69" i="4" s="1"/>
  <c r="N69" i="4"/>
  <c r="AI69" i="4" s="1"/>
  <c r="O69" i="4"/>
  <c r="AJ69" i="4" s="1"/>
  <c r="P69" i="4"/>
  <c r="AK69" i="4" s="1"/>
  <c r="Q69" i="4"/>
  <c r="AL69" i="4" s="1"/>
  <c r="R69" i="4"/>
  <c r="AM69" i="4" s="1"/>
  <c r="S69" i="4"/>
  <c r="T69" i="4"/>
  <c r="AO69" i="4" s="1"/>
  <c r="K70" i="4"/>
  <c r="AF70" i="4" s="1"/>
  <c r="L70" i="4"/>
  <c r="AG70" i="4" s="1"/>
  <c r="M70" i="4"/>
  <c r="AH70" i="4" s="1"/>
  <c r="N70" i="4"/>
  <c r="AI70" i="4" s="1"/>
  <c r="O70" i="4"/>
  <c r="AJ70" i="4" s="1"/>
  <c r="P70" i="4"/>
  <c r="AK70" i="4" s="1"/>
  <c r="Q70" i="4"/>
  <c r="AL70" i="4" s="1"/>
  <c r="R70" i="4"/>
  <c r="AM70" i="4" s="1"/>
  <c r="S70" i="4"/>
  <c r="T70" i="4"/>
  <c r="AO70" i="4" s="1"/>
  <c r="K71" i="4"/>
  <c r="AF71" i="4" s="1"/>
  <c r="L71" i="4"/>
  <c r="AG71" i="4" s="1"/>
  <c r="M71" i="4"/>
  <c r="AH71" i="4" s="1"/>
  <c r="N71" i="4"/>
  <c r="AI71" i="4" s="1"/>
  <c r="O71" i="4"/>
  <c r="AJ71" i="4" s="1"/>
  <c r="P71" i="4"/>
  <c r="AK71" i="4" s="1"/>
  <c r="Q71" i="4"/>
  <c r="AL71" i="4" s="1"/>
  <c r="R71" i="4"/>
  <c r="AM71" i="4" s="1"/>
  <c r="S71" i="4"/>
  <c r="T71" i="4"/>
  <c r="AO71" i="4" s="1"/>
  <c r="K72" i="4"/>
  <c r="AF72" i="4" s="1"/>
  <c r="L72" i="4"/>
  <c r="AG72" i="4" s="1"/>
  <c r="M72" i="4"/>
  <c r="AH72" i="4" s="1"/>
  <c r="N72" i="4"/>
  <c r="AI72" i="4" s="1"/>
  <c r="O72" i="4"/>
  <c r="AJ72" i="4" s="1"/>
  <c r="P72" i="4"/>
  <c r="AK72" i="4" s="1"/>
  <c r="Q72" i="4"/>
  <c r="AL72" i="4" s="1"/>
  <c r="R72" i="4"/>
  <c r="AM72" i="4" s="1"/>
  <c r="S72" i="4"/>
  <c r="T72" i="4"/>
  <c r="AO72" i="4" s="1"/>
  <c r="K73" i="4"/>
  <c r="AF73" i="4" s="1"/>
  <c r="L73" i="4"/>
  <c r="AG73" i="4" s="1"/>
  <c r="M73" i="4"/>
  <c r="AH73" i="4" s="1"/>
  <c r="N73" i="4"/>
  <c r="AI73" i="4" s="1"/>
  <c r="O73" i="4"/>
  <c r="AJ73" i="4" s="1"/>
  <c r="P73" i="4"/>
  <c r="AK73" i="4" s="1"/>
  <c r="Q73" i="4"/>
  <c r="AL73" i="4" s="1"/>
  <c r="R73" i="4"/>
  <c r="AM73" i="4" s="1"/>
  <c r="S73" i="4"/>
  <c r="T73" i="4"/>
  <c r="AO73" i="4" s="1"/>
  <c r="K74" i="4"/>
  <c r="AF74" i="4" s="1"/>
  <c r="L74" i="4"/>
  <c r="AG74" i="4" s="1"/>
  <c r="M74" i="4"/>
  <c r="AH74" i="4" s="1"/>
  <c r="N74" i="4"/>
  <c r="AI74" i="4" s="1"/>
  <c r="O74" i="4"/>
  <c r="AJ74" i="4" s="1"/>
  <c r="P74" i="4"/>
  <c r="AK74" i="4" s="1"/>
  <c r="Q74" i="4"/>
  <c r="AL74" i="4" s="1"/>
  <c r="R74" i="4"/>
  <c r="AM74" i="4" s="1"/>
  <c r="S74" i="4"/>
  <c r="T74" i="4"/>
  <c r="AO74" i="4" s="1"/>
  <c r="K75" i="4"/>
  <c r="AF75" i="4" s="1"/>
  <c r="L75" i="4"/>
  <c r="AG75" i="4" s="1"/>
  <c r="M75" i="4"/>
  <c r="AH75" i="4" s="1"/>
  <c r="N75" i="4"/>
  <c r="AI75" i="4" s="1"/>
  <c r="O75" i="4"/>
  <c r="AJ75" i="4" s="1"/>
  <c r="P75" i="4"/>
  <c r="AK75" i="4" s="1"/>
  <c r="Q75" i="4"/>
  <c r="AL75" i="4" s="1"/>
  <c r="R75" i="4"/>
  <c r="AM75" i="4" s="1"/>
  <c r="S75" i="4"/>
  <c r="T75" i="4"/>
  <c r="AO75" i="4" s="1"/>
  <c r="K76" i="4"/>
  <c r="AF76" i="4" s="1"/>
  <c r="L76" i="4"/>
  <c r="AG76" i="4" s="1"/>
  <c r="M76" i="4"/>
  <c r="AH76" i="4" s="1"/>
  <c r="N76" i="4"/>
  <c r="AI76" i="4" s="1"/>
  <c r="O76" i="4"/>
  <c r="AJ76" i="4" s="1"/>
  <c r="P76" i="4"/>
  <c r="AK76" i="4" s="1"/>
  <c r="Q76" i="4"/>
  <c r="AL76" i="4" s="1"/>
  <c r="R76" i="4"/>
  <c r="AM76" i="4" s="1"/>
  <c r="S76" i="4"/>
  <c r="T76" i="4"/>
  <c r="AO76" i="4" s="1"/>
  <c r="K77" i="4"/>
  <c r="AF77" i="4" s="1"/>
  <c r="L77" i="4"/>
  <c r="AG77" i="4" s="1"/>
  <c r="M77" i="4"/>
  <c r="AH77" i="4" s="1"/>
  <c r="N77" i="4"/>
  <c r="AI77" i="4" s="1"/>
  <c r="O77" i="4"/>
  <c r="AJ77" i="4" s="1"/>
  <c r="P77" i="4"/>
  <c r="AK77" i="4" s="1"/>
  <c r="Q77" i="4"/>
  <c r="AL77" i="4" s="1"/>
  <c r="R77" i="4"/>
  <c r="AM77" i="4" s="1"/>
  <c r="S77" i="4"/>
  <c r="T77" i="4"/>
  <c r="AO77" i="4" s="1"/>
  <c r="K78" i="4"/>
  <c r="AF78" i="4" s="1"/>
  <c r="L78" i="4"/>
  <c r="AG78" i="4" s="1"/>
  <c r="M78" i="4"/>
  <c r="AH78" i="4" s="1"/>
  <c r="N78" i="4"/>
  <c r="AI78" i="4" s="1"/>
  <c r="O78" i="4"/>
  <c r="AJ78" i="4" s="1"/>
  <c r="P78" i="4"/>
  <c r="AK78" i="4" s="1"/>
  <c r="Q78" i="4"/>
  <c r="AL78" i="4" s="1"/>
  <c r="R78" i="4"/>
  <c r="AM78" i="4" s="1"/>
  <c r="S78" i="4"/>
  <c r="T78" i="4"/>
  <c r="AO78" i="4" s="1"/>
  <c r="K79" i="4"/>
  <c r="AF79" i="4" s="1"/>
  <c r="L79" i="4"/>
  <c r="AG79" i="4" s="1"/>
  <c r="M79" i="4"/>
  <c r="AH79" i="4" s="1"/>
  <c r="N79" i="4"/>
  <c r="AI79" i="4" s="1"/>
  <c r="O79" i="4"/>
  <c r="AJ79" i="4" s="1"/>
  <c r="P79" i="4"/>
  <c r="AK79" i="4" s="1"/>
  <c r="Q79" i="4"/>
  <c r="AL79" i="4" s="1"/>
  <c r="R79" i="4"/>
  <c r="AM79" i="4" s="1"/>
  <c r="S79" i="4"/>
  <c r="T79" i="4"/>
  <c r="AO79" i="4" s="1"/>
  <c r="K80" i="4"/>
  <c r="AF80" i="4" s="1"/>
  <c r="L80" i="4"/>
  <c r="AG80" i="4" s="1"/>
  <c r="M80" i="4"/>
  <c r="AH80" i="4" s="1"/>
  <c r="N80" i="4"/>
  <c r="AI80" i="4" s="1"/>
  <c r="O80" i="4"/>
  <c r="AJ80" i="4" s="1"/>
  <c r="P80" i="4"/>
  <c r="AK80" i="4" s="1"/>
  <c r="Q80" i="4"/>
  <c r="AL80" i="4" s="1"/>
  <c r="R80" i="4"/>
  <c r="AM80" i="4" s="1"/>
  <c r="S80" i="4"/>
  <c r="T80" i="4"/>
  <c r="AO80" i="4" s="1"/>
  <c r="K81" i="4"/>
  <c r="AF81" i="4" s="1"/>
  <c r="L81" i="4"/>
  <c r="AG81" i="4" s="1"/>
  <c r="M81" i="4"/>
  <c r="AH81" i="4" s="1"/>
  <c r="N81" i="4"/>
  <c r="AI81" i="4" s="1"/>
  <c r="O81" i="4"/>
  <c r="AJ81" i="4" s="1"/>
  <c r="P81" i="4"/>
  <c r="AK81" i="4" s="1"/>
  <c r="Q81" i="4"/>
  <c r="AL81" i="4" s="1"/>
  <c r="R81" i="4"/>
  <c r="AM81" i="4" s="1"/>
  <c r="S81" i="4"/>
  <c r="T81" i="4"/>
  <c r="AO81" i="4" s="1"/>
  <c r="K82" i="4"/>
  <c r="AF82" i="4" s="1"/>
  <c r="L82" i="4"/>
  <c r="AG82" i="4" s="1"/>
  <c r="M82" i="4"/>
  <c r="AH82" i="4" s="1"/>
  <c r="N82" i="4"/>
  <c r="AI82" i="4" s="1"/>
  <c r="O82" i="4"/>
  <c r="AJ82" i="4" s="1"/>
  <c r="P82" i="4"/>
  <c r="AK82" i="4" s="1"/>
  <c r="Q82" i="4"/>
  <c r="AL82" i="4" s="1"/>
  <c r="R82" i="4"/>
  <c r="AM82" i="4" s="1"/>
  <c r="S82" i="4"/>
  <c r="T82" i="4"/>
  <c r="AO82" i="4" s="1"/>
  <c r="K83" i="4"/>
  <c r="AF83" i="4" s="1"/>
  <c r="L83" i="4"/>
  <c r="AG83" i="4" s="1"/>
  <c r="M83" i="4"/>
  <c r="AH83" i="4" s="1"/>
  <c r="N83" i="4"/>
  <c r="AI83" i="4" s="1"/>
  <c r="O83" i="4"/>
  <c r="AJ83" i="4" s="1"/>
  <c r="P83" i="4"/>
  <c r="AK83" i="4" s="1"/>
  <c r="Q83" i="4"/>
  <c r="AL83" i="4" s="1"/>
  <c r="R83" i="4"/>
  <c r="AM83" i="4" s="1"/>
  <c r="S83" i="4"/>
  <c r="T83" i="4"/>
  <c r="AO83" i="4" s="1"/>
  <c r="K84" i="4"/>
  <c r="AF84" i="4" s="1"/>
  <c r="L84" i="4"/>
  <c r="AG84" i="4" s="1"/>
  <c r="M84" i="4"/>
  <c r="AH84" i="4" s="1"/>
  <c r="N84" i="4"/>
  <c r="AI84" i="4" s="1"/>
  <c r="O84" i="4"/>
  <c r="AJ84" i="4" s="1"/>
  <c r="P84" i="4"/>
  <c r="AK84" i="4" s="1"/>
  <c r="Q84" i="4"/>
  <c r="AL84" i="4" s="1"/>
  <c r="R84" i="4"/>
  <c r="AM84" i="4" s="1"/>
  <c r="S84" i="4"/>
  <c r="T84" i="4"/>
  <c r="AO84" i="4" s="1"/>
  <c r="L64" i="4"/>
  <c r="AG64" i="4" s="1"/>
  <c r="M64" i="4"/>
  <c r="AH64" i="4" s="1"/>
  <c r="N64" i="4"/>
  <c r="AI64" i="4" s="1"/>
  <c r="O64" i="4"/>
  <c r="AJ64" i="4" s="1"/>
  <c r="P64" i="4"/>
  <c r="AK64" i="4" s="1"/>
  <c r="Q64" i="4"/>
  <c r="AL64" i="4" s="1"/>
  <c r="R64" i="4"/>
  <c r="AM64" i="4" s="1"/>
  <c r="S64" i="4"/>
  <c r="T64" i="4"/>
  <c r="AO64" i="4" s="1"/>
  <c r="K64" i="4"/>
  <c r="AF64" i="4" s="1"/>
  <c r="C65" i="4"/>
  <c r="D65" i="4"/>
  <c r="Y65" i="4" s="1"/>
  <c r="E65" i="4"/>
  <c r="Z65" i="4" s="1"/>
  <c r="F65" i="4"/>
  <c r="AA65" i="4" s="1"/>
  <c r="G65" i="4"/>
  <c r="AB65" i="4" s="1"/>
  <c r="H65" i="4"/>
  <c r="AC65" i="4" s="1"/>
  <c r="I65" i="4"/>
  <c r="AD65" i="4" s="1"/>
  <c r="J65" i="4"/>
  <c r="AE65" i="4" s="1"/>
  <c r="C66" i="4"/>
  <c r="D66" i="4"/>
  <c r="Y66" i="4" s="1"/>
  <c r="E66" i="4"/>
  <c r="Z66" i="4" s="1"/>
  <c r="F66" i="4"/>
  <c r="AA66" i="4" s="1"/>
  <c r="G66" i="4"/>
  <c r="AB66" i="4" s="1"/>
  <c r="H66" i="4"/>
  <c r="AC66" i="4" s="1"/>
  <c r="I66" i="4"/>
  <c r="AD66" i="4" s="1"/>
  <c r="J66" i="4"/>
  <c r="AE66" i="4" s="1"/>
  <c r="C67" i="4"/>
  <c r="D67" i="4"/>
  <c r="Y67" i="4" s="1"/>
  <c r="E67" i="4"/>
  <c r="Z67" i="4" s="1"/>
  <c r="F67" i="4"/>
  <c r="AA67" i="4" s="1"/>
  <c r="G67" i="4"/>
  <c r="AB67" i="4" s="1"/>
  <c r="H67" i="4"/>
  <c r="AC67" i="4" s="1"/>
  <c r="I67" i="4"/>
  <c r="AD67" i="4" s="1"/>
  <c r="J67" i="4"/>
  <c r="AE67" i="4" s="1"/>
  <c r="C68" i="4"/>
  <c r="D68" i="4"/>
  <c r="Y68" i="4" s="1"/>
  <c r="E68" i="4"/>
  <c r="Z68" i="4" s="1"/>
  <c r="F68" i="4"/>
  <c r="AA68" i="4" s="1"/>
  <c r="G68" i="4"/>
  <c r="AB68" i="4" s="1"/>
  <c r="H68" i="4"/>
  <c r="AC68" i="4" s="1"/>
  <c r="I68" i="4"/>
  <c r="AD68" i="4" s="1"/>
  <c r="J68" i="4"/>
  <c r="AE68" i="4" s="1"/>
  <c r="C69" i="4"/>
  <c r="D69" i="4"/>
  <c r="Y69" i="4" s="1"/>
  <c r="E69" i="4"/>
  <c r="Z69" i="4" s="1"/>
  <c r="F69" i="4"/>
  <c r="AA69" i="4" s="1"/>
  <c r="G69" i="4"/>
  <c r="AB69" i="4" s="1"/>
  <c r="H69" i="4"/>
  <c r="AC69" i="4" s="1"/>
  <c r="I69" i="4"/>
  <c r="AD69" i="4" s="1"/>
  <c r="J69" i="4"/>
  <c r="AE69" i="4" s="1"/>
  <c r="C70" i="4"/>
  <c r="D70" i="4"/>
  <c r="Y70" i="4" s="1"/>
  <c r="E70" i="4"/>
  <c r="Z70" i="4" s="1"/>
  <c r="F70" i="4"/>
  <c r="AA70" i="4" s="1"/>
  <c r="G70" i="4"/>
  <c r="AB70" i="4" s="1"/>
  <c r="H70" i="4"/>
  <c r="AC70" i="4" s="1"/>
  <c r="I70" i="4"/>
  <c r="AD70" i="4" s="1"/>
  <c r="J70" i="4"/>
  <c r="AE70" i="4" s="1"/>
  <c r="C71" i="4"/>
  <c r="D71" i="4"/>
  <c r="Y71" i="4" s="1"/>
  <c r="E71" i="4"/>
  <c r="Z71" i="4" s="1"/>
  <c r="F71" i="4"/>
  <c r="AA71" i="4" s="1"/>
  <c r="G71" i="4"/>
  <c r="AB71" i="4" s="1"/>
  <c r="H71" i="4"/>
  <c r="AC71" i="4" s="1"/>
  <c r="I71" i="4"/>
  <c r="AD71" i="4" s="1"/>
  <c r="J71" i="4"/>
  <c r="AE71" i="4" s="1"/>
  <c r="C72" i="4"/>
  <c r="D72" i="4"/>
  <c r="Y72" i="4" s="1"/>
  <c r="E72" i="4"/>
  <c r="Z72" i="4" s="1"/>
  <c r="F72" i="4"/>
  <c r="AA72" i="4" s="1"/>
  <c r="G72" i="4"/>
  <c r="AB72" i="4" s="1"/>
  <c r="H72" i="4"/>
  <c r="AC72" i="4" s="1"/>
  <c r="I72" i="4"/>
  <c r="AD72" i="4" s="1"/>
  <c r="J72" i="4"/>
  <c r="AE72" i="4" s="1"/>
  <c r="C73" i="4"/>
  <c r="D73" i="4"/>
  <c r="Y73" i="4" s="1"/>
  <c r="E73" i="4"/>
  <c r="Z73" i="4" s="1"/>
  <c r="F73" i="4"/>
  <c r="AA73" i="4" s="1"/>
  <c r="G73" i="4"/>
  <c r="AB73" i="4" s="1"/>
  <c r="H73" i="4"/>
  <c r="AC73" i="4" s="1"/>
  <c r="I73" i="4"/>
  <c r="AD73" i="4" s="1"/>
  <c r="J73" i="4"/>
  <c r="AE73" i="4" s="1"/>
  <c r="C74" i="4"/>
  <c r="D74" i="4"/>
  <c r="Y74" i="4" s="1"/>
  <c r="E74" i="4"/>
  <c r="Z74" i="4" s="1"/>
  <c r="F74" i="4"/>
  <c r="AA74" i="4" s="1"/>
  <c r="G74" i="4"/>
  <c r="AB74" i="4" s="1"/>
  <c r="H74" i="4"/>
  <c r="AC74" i="4" s="1"/>
  <c r="I74" i="4"/>
  <c r="AD74" i="4" s="1"/>
  <c r="J74" i="4"/>
  <c r="AE74" i="4" s="1"/>
  <c r="C75" i="4"/>
  <c r="D75" i="4"/>
  <c r="Y75" i="4" s="1"/>
  <c r="E75" i="4"/>
  <c r="Z75" i="4" s="1"/>
  <c r="F75" i="4"/>
  <c r="AA75" i="4" s="1"/>
  <c r="G75" i="4"/>
  <c r="AB75" i="4" s="1"/>
  <c r="H75" i="4"/>
  <c r="AC75" i="4" s="1"/>
  <c r="I75" i="4"/>
  <c r="AD75" i="4" s="1"/>
  <c r="J75" i="4"/>
  <c r="AE75" i="4" s="1"/>
  <c r="C76" i="4"/>
  <c r="D76" i="4"/>
  <c r="Y76" i="4" s="1"/>
  <c r="E76" i="4"/>
  <c r="Z76" i="4" s="1"/>
  <c r="F76" i="4"/>
  <c r="AA76" i="4" s="1"/>
  <c r="G76" i="4"/>
  <c r="AB76" i="4" s="1"/>
  <c r="H76" i="4"/>
  <c r="AC76" i="4" s="1"/>
  <c r="I76" i="4"/>
  <c r="AD76" i="4" s="1"/>
  <c r="J76" i="4"/>
  <c r="AE76" i="4" s="1"/>
  <c r="C77" i="4"/>
  <c r="D77" i="4"/>
  <c r="Y77" i="4" s="1"/>
  <c r="E77" i="4"/>
  <c r="Z77" i="4" s="1"/>
  <c r="F77" i="4"/>
  <c r="AA77" i="4" s="1"/>
  <c r="G77" i="4"/>
  <c r="AB77" i="4" s="1"/>
  <c r="H77" i="4"/>
  <c r="AC77" i="4" s="1"/>
  <c r="I77" i="4"/>
  <c r="AD77" i="4" s="1"/>
  <c r="J77" i="4"/>
  <c r="AE77" i="4" s="1"/>
  <c r="C78" i="4"/>
  <c r="D78" i="4"/>
  <c r="Y78" i="4" s="1"/>
  <c r="E78" i="4"/>
  <c r="Z78" i="4" s="1"/>
  <c r="F78" i="4"/>
  <c r="AA78" i="4" s="1"/>
  <c r="G78" i="4"/>
  <c r="AB78" i="4" s="1"/>
  <c r="H78" i="4"/>
  <c r="AC78" i="4" s="1"/>
  <c r="I78" i="4"/>
  <c r="AD78" i="4" s="1"/>
  <c r="J78" i="4"/>
  <c r="AE78" i="4" s="1"/>
  <c r="C79" i="4"/>
  <c r="D79" i="4"/>
  <c r="Y79" i="4" s="1"/>
  <c r="E79" i="4"/>
  <c r="Z79" i="4" s="1"/>
  <c r="F79" i="4"/>
  <c r="AA79" i="4" s="1"/>
  <c r="G79" i="4"/>
  <c r="AB79" i="4" s="1"/>
  <c r="H79" i="4"/>
  <c r="AC79" i="4" s="1"/>
  <c r="I79" i="4"/>
  <c r="AD79" i="4" s="1"/>
  <c r="J79" i="4"/>
  <c r="AE79" i="4" s="1"/>
  <c r="C80" i="4"/>
  <c r="D80" i="4"/>
  <c r="Y80" i="4" s="1"/>
  <c r="E80" i="4"/>
  <c r="Z80" i="4" s="1"/>
  <c r="F80" i="4"/>
  <c r="AA80" i="4" s="1"/>
  <c r="G80" i="4"/>
  <c r="AB80" i="4" s="1"/>
  <c r="H80" i="4"/>
  <c r="AC80" i="4" s="1"/>
  <c r="I80" i="4"/>
  <c r="AD80" i="4" s="1"/>
  <c r="J80" i="4"/>
  <c r="AE80" i="4" s="1"/>
  <c r="C81" i="4"/>
  <c r="D81" i="4"/>
  <c r="Y81" i="4" s="1"/>
  <c r="E81" i="4"/>
  <c r="Z81" i="4" s="1"/>
  <c r="F81" i="4"/>
  <c r="AA81" i="4" s="1"/>
  <c r="G81" i="4"/>
  <c r="AB81" i="4" s="1"/>
  <c r="H81" i="4"/>
  <c r="AC81" i="4" s="1"/>
  <c r="I81" i="4"/>
  <c r="AD81" i="4" s="1"/>
  <c r="J81" i="4"/>
  <c r="AE81" i="4" s="1"/>
  <c r="C82" i="4"/>
  <c r="D82" i="4"/>
  <c r="Y82" i="4" s="1"/>
  <c r="E82" i="4"/>
  <c r="Z82" i="4" s="1"/>
  <c r="F82" i="4"/>
  <c r="AA82" i="4" s="1"/>
  <c r="G82" i="4"/>
  <c r="AB82" i="4" s="1"/>
  <c r="H82" i="4"/>
  <c r="AC82" i="4" s="1"/>
  <c r="I82" i="4"/>
  <c r="AD82" i="4" s="1"/>
  <c r="J82" i="4"/>
  <c r="AE82" i="4" s="1"/>
  <c r="C83" i="4"/>
  <c r="D83" i="4"/>
  <c r="Y83" i="4" s="1"/>
  <c r="E83" i="4"/>
  <c r="Z83" i="4" s="1"/>
  <c r="F83" i="4"/>
  <c r="AA83" i="4" s="1"/>
  <c r="G83" i="4"/>
  <c r="AB83" i="4" s="1"/>
  <c r="H83" i="4"/>
  <c r="AC83" i="4" s="1"/>
  <c r="I83" i="4"/>
  <c r="AD83" i="4" s="1"/>
  <c r="J83" i="4"/>
  <c r="AE83" i="4" s="1"/>
  <c r="C84" i="4"/>
  <c r="D84" i="4"/>
  <c r="Y84" i="4" s="1"/>
  <c r="E84" i="4"/>
  <c r="Z84" i="4" s="1"/>
  <c r="F84" i="4"/>
  <c r="AA84" i="4" s="1"/>
  <c r="G84" i="4"/>
  <c r="AB84" i="4" s="1"/>
  <c r="H84" i="4"/>
  <c r="AC84" i="4" s="1"/>
  <c r="I84" i="4"/>
  <c r="AD84" i="4" s="1"/>
  <c r="J84" i="4"/>
  <c r="AE84" i="4" s="1"/>
  <c r="D64" i="4"/>
  <c r="Y64" i="4" s="1"/>
  <c r="E64" i="4"/>
  <c r="Z64" i="4" s="1"/>
  <c r="F64" i="4"/>
  <c r="AA64" i="4" s="1"/>
  <c r="G64" i="4"/>
  <c r="AB64" i="4" s="1"/>
  <c r="H64" i="4"/>
  <c r="AC64" i="4" s="1"/>
  <c r="I64" i="4"/>
  <c r="AD64" i="4" s="1"/>
  <c r="J64" i="4"/>
  <c r="AE64" i="4" s="1"/>
  <c r="C64" i="4"/>
  <c r="L63" i="4"/>
  <c r="AG63" i="4" s="1"/>
  <c r="M63" i="4"/>
  <c r="AH63" i="4" s="1"/>
  <c r="N63" i="4"/>
  <c r="AI63" i="4" s="1"/>
  <c r="O63" i="4"/>
  <c r="AJ63" i="4" s="1"/>
  <c r="P63" i="4"/>
  <c r="AK63" i="4" s="1"/>
  <c r="Q63" i="4"/>
  <c r="AL63" i="4" s="1"/>
  <c r="R63" i="4"/>
  <c r="AM63" i="4" s="1"/>
  <c r="S63" i="4"/>
  <c r="T63" i="4"/>
  <c r="AO63" i="4" s="1"/>
  <c r="K63" i="4"/>
  <c r="AF63" i="4" s="1"/>
  <c r="D63" i="4"/>
  <c r="Y63" i="4" s="1"/>
  <c r="E63" i="4"/>
  <c r="Z63" i="4" s="1"/>
  <c r="F63" i="4"/>
  <c r="AA63" i="4" s="1"/>
  <c r="G63" i="4"/>
  <c r="AB63" i="4" s="1"/>
  <c r="H63" i="4"/>
  <c r="AC63" i="4" s="1"/>
  <c r="I63" i="4"/>
  <c r="AD63" i="4" s="1"/>
  <c r="J63" i="4"/>
  <c r="AE63" i="4" s="1"/>
  <c r="C63" i="4"/>
  <c r="K58" i="4"/>
  <c r="AF58" i="4" s="1"/>
  <c r="L58" i="4"/>
  <c r="AG58" i="4" s="1"/>
  <c r="M58" i="4"/>
  <c r="AH58" i="4" s="1"/>
  <c r="N58" i="4"/>
  <c r="AI58" i="4" s="1"/>
  <c r="O58" i="4"/>
  <c r="AJ58" i="4" s="1"/>
  <c r="P58" i="4"/>
  <c r="AK58" i="4" s="1"/>
  <c r="Q58" i="4"/>
  <c r="AL58" i="4" s="1"/>
  <c r="R58" i="4"/>
  <c r="AM58" i="4" s="1"/>
  <c r="S58" i="4"/>
  <c r="T58" i="4"/>
  <c r="AO58" i="4" s="1"/>
  <c r="K59" i="4"/>
  <c r="AF59" i="4" s="1"/>
  <c r="L59" i="4"/>
  <c r="AG59" i="4" s="1"/>
  <c r="M59" i="4"/>
  <c r="AH59" i="4" s="1"/>
  <c r="N59" i="4"/>
  <c r="AI59" i="4" s="1"/>
  <c r="O59" i="4"/>
  <c r="AJ59" i="4" s="1"/>
  <c r="P59" i="4"/>
  <c r="AK59" i="4" s="1"/>
  <c r="Q59" i="4"/>
  <c r="AL59" i="4" s="1"/>
  <c r="R59" i="4"/>
  <c r="AM59" i="4" s="1"/>
  <c r="S59" i="4"/>
  <c r="T59" i="4"/>
  <c r="AO59" i="4" s="1"/>
  <c r="K60" i="4"/>
  <c r="AF60" i="4" s="1"/>
  <c r="L60" i="4"/>
  <c r="AG60" i="4" s="1"/>
  <c r="M60" i="4"/>
  <c r="AH60" i="4" s="1"/>
  <c r="N60" i="4"/>
  <c r="AI60" i="4" s="1"/>
  <c r="O60" i="4"/>
  <c r="AJ60" i="4" s="1"/>
  <c r="P60" i="4"/>
  <c r="AK60" i="4" s="1"/>
  <c r="Q60" i="4"/>
  <c r="AL60" i="4" s="1"/>
  <c r="R60" i="4"/>
  <c r="AM60" i="4" s="1"/>
  <c r="S60" i="4"/>
  <c r="T60" i="4"/>
  <c r="AO60" i="4" s="1"/>
  <c r="K61" i="4"/>
  <c r="AF61" i="4" s="1"/>
  <c r="L61" i="4"/>
  <c r="AG61" i="4" s="1"/>
  <c r="M61" i="4"/>
  <c r="AH61" i="4" s="1"/>
  <c r="N61" i="4"/>
  <c r="AI61" i="4" s="1"/>
  <c r="O61" i="4"/>
  <c r="AJ61" i="4" s="1"/>
  <c r="P61" i="4"/>
  <c r="AK61" i="4" s="1"/>
  <c r="Q61" i="4"/>
  <c r="AL61" i="4" s="1"/>
  <c r="R61" i="4"/>
  <c r="AM61" i="4" s="1"/>
  <c r="S61" i="4"/>
  <c r="T61" i="4"/>
  <c r="AO61" i="4" s="1"/>
  <c r="K62" i="4"/>
  <c r="AF62" i="4" s="1"/>
  <c r="L62" i="4"/>
  <c r="AG62" i="4" s="1"/>
  <c r="M62" i="4"/>
  <c r="AH62" i="4" s="1"/>
  <c r="N62" i="4"/>
  <c r="AI62" i="4" s="1"/>
  <c r="O62" i="4"/>
  <c r="AJ62" i="4" s="1"/>
  <c r="P62" i="4"/>
  <c r="AK62" i="4" s="1"/>
  <c r="Q62" i="4"/>
  <c r="AL62" i="4" s="1"/>
  <c r="R62" i="4"/>
  <c r="AM62" i="4" s="1"/>
  <c r="S62" i="4"/>
  <c r="T62" i="4"/>
  <c r="AO62" i="4" s="1"/>
  <c r="M57" i="4"/>
  <c r="AH57" i="4" s="1"/>
  <c r="N57" i="4"/>
  <c r="AI57" i="4" s="1"/>
  <c r="O57" i="4"/>
  <c r="AJ57" i="4" s="1"/>
  <c r="P57" i="4"/>
  <c r="AK57" i="4" s="1"/>
  <c r="Q57" i="4"/>
  <c r="AL57" i="4" s="1"/>
  <c r="R57" i="4"/>
  <c r="AM57" i="4" s="1"/>
  <c r="S57" i="4"/>
  <c r="T57" i="4"/>
  <c r="AO57" i="4" s="1"/>
  <c r="L57" i="4"/>
  <c r="AG57" i="4" s="1"/>
  <c r="K57" i="4"/>
  <c r="AF57" i="4" s="1"/>
  <c r="C58" i="4"/>
  <c r="D58" i="4"/>
  <c r="Y58" i="4" s="1"/>
  <c r="E58" i="4"/>
  <c r="Z58" i="4" s="1"/>
  <c r="F58" i="4"/>
  <c r="AA58" i="4" s="1"/>
  <c r="G58" i="4"/>
  <c r="AB58" i="4" s="1"/>
  <c r="H58" i="4"/>
  <c r="AC58" i="4" s="1"/>
  <c r="I58" i="4"/>
  <c r="AD58" i="4" s="1"/>
  <c r="J58" i="4"/>
  <c r="AE58" i="4" s="1"/>
  <c r="C59" i="4"/>
  <c r="D59" i="4"/>
  <c r="Y59" i="4" s="1"/>
  <c r="E59" i="4"/>
  <c r="Z59" i="4" s="1"/>
  <c r="F59" i="4"/>
  <c r="AA59" i="4" s="1"/>
  <c r="G59" i="4"/>
  <c r="AB59" i="4" s="1"/>
  <c r="H59" i="4"/>
  <c r="AC59" i="4" s="1"/>
  <c r="I59" i="4"/>
  <c r="AD59" i="4" s="1"/>
  <c r="J59" i="4"/>
  <c r="AE59" i="4" s="1"/>
  <c r="C60" i="4"/>
  <c r="D60" i="4"/>
  <c r="Y60" i="4" s="1"/>
  <c r="E60" i="4"/>
  <c r="Z60" i="4" s="1"/>
  <c r="F60" i="4"/>
  <c r="AA60" i="4" s="1"/>
  <c r="G60" i="4"/>
  <c r="AB60" i="4" s="1"/>
  <c r="H60" i="4"/>
  <c r="AC60" i="4" s="1"/>
  <c r="I60" i="4"/>
  <c r="AD60" i="4" s="1"/>
  <c r="J60" i="4"/>
  <c r="AE60" i="4" s="1"/>
  <c r="C61" i="4"/>
  <c r="D61" i="4"/>
  <c r="Y61" i="4" s="1"/>
  <c r="E61" i="4"/>
  <c r="Z61" i="4" s="1"/>
  <c r="F61" i="4"/>
  <c r="AA61" i="4" s="1"/>
  <c r="G61" i="4"/>
  <c r="AB61" i="4" s="1"/>
  <c r="H61" i="4"/>
  <c r="AC61" i="4" s="1"/>
  <c r="I61" i="4"/>
  <c r="AD61" i="4" s="1"/>
  <c r="J61" i="4"/>
  <c r="AE61" i="4" s="1"/>
  <c r="C62" i="4"/>
  <c r="D62" i="4"/>
  <c r="Y62" i="4" s="1"/>
  <c r="E62" i="4"/>
  <c r="Z62" i="4" s="1"/>
  <c r="F62" i="4"/>
  <c r="AA62" i="4" s="1"/>
  <c r="G62" i="4"/>
  <c r="AB62" i="4" s="1"/>
  <c r="H62" i="4"/>
  <c r="AC62" i="4" s="1"/>
  <c r="I62" i="4"/>
  <c r="AD62" i="4" s="1"/>
  <c r="J62" i="4"/>
  <c r="AE62" i="4" s="1"/>
  <c r="D57" i="4"/>
  <c r="Y57" i="4" s="1"/>
  <c r="E57" i="4"/>
  <c r="Z57" i="4" s="1"/>
  <c r="F57" i="4"/>
  <c r="AA57" i="4" s="1"/>
  <c r="G57" i="4"/>
  <c r="AB57" i="4" s="1"/>
  <c r="H57" i="4"/>
  <c r="AC57" i="4" s="1"/>
  <c r="I57" i="4"/>
  <c r="AD57" i="4" s="1"/>
  <c r="J57" i="4"/>
  <c r="AE57" i="4" s="1"/>
  <c r="C57" i="4"/>
  <c r="N45" i="4"/>
  <c r="AI45" i="4" s="1"/>
  <c r="O45" i="4"/>
  <c r="AJ45" i="4" s="1"/>
  <c r="P45" i="4"/>
  <c r="AK45" i="4" s="1"/>
  <c r="Q45" i="4"/>
  <c r="AL45" i="4" s="1"/>
  <c r="R45" i="4"/>
  <c r="AM45" i="4" s="1"/>
  <c r="S45" i="4"/>
  <c r="T45" i="4"/>
  <c r="AO45" i="4" s="1"/>
  <c r="N46" i="4"/>
  <c r="AI46" i="4" s="1"/>
  <c r="O46" i="4"/>
  <c r="AJ46" i="4" s="1"/>
  <c r="P46" i="4"/>
  <c r="AK46" i="4" s="1"/>
  <c r="Q46" i="4"/>
  <c r="AL46" i="4" s="1"/>
  <c r="R46" i="4"/>
  <c r="AM46" i="4" s="1"/>
  <c r="S46" i="4"/>
  <c r="T46" i="4"/>
  <c r="AO46" i="4" s="1"/>
  <c r="N47" i="4"/>
  <c r="AI47" i="4" s="1"/>
  <c r="O47" i="4"/>
  <c r="AJ47" i="4" s="1"/>
  <c r="P47" i="4"/>
  <c r="AK47" i="4" s="1"/>
  <c r="Q47" i="4"/>
  <c r="AL47" i="4" s="1"/>
  <c r="R47" i="4"/>
  <c r="AM47" i="4" s="1"/>
  <c r="S47" i="4"/>
  <c r="T47" i="4"/>
  <c r="AO47" i="4" s="1"/>
  <c r="N48" i="4"/>
  <c r="AI48" i="4" s="1"/>
  <c r="O48" i="4"/>
  <c r="AJ48" i="4" s="1"/>
  <c r="P48" i="4"/>
  <c r="AK48" i="4" s="1"/>
  <c r="Q48" i="4"/>
  <c r="AL48" i="4" s="1"/>
  <c r="R48" i="4"/>
  <c r="AM48" i="4" s="1"/>
  <c r="S48" i="4"/>
  <c r="T48" i="4"/>
  <c r="AO48" i="4" s="1"/>
  <c r="N49" i="4"/>
  <c r="AI49" i="4" s="1"/>
  <c r="O49" i="4"/>
  <c r="AJ49" i="4" s="1"/>
  <c r="P49" i="4"/>
  <c r="AK49" i="4" s="1"/>
  <c r="Q49" i="4"/>
  <c r="AL49" i="4" s="1"/>
  <c r="R49" i="4"/>
  <c r="AM49" i="4" s="1"/>
  <c r="S49" i="4"/>
  <c r="T49" i="4"/>
  <c r="AO49" i="4" s="1"/>
  <c r="N50" i="4"/>
  <c r="AI50" i="4" s="1"/>
  <c r="O50" i="4"/>
  <c r="AJ50" i="4" s="1"/>
  <c r="P50" i="4"/>
  <c r="AK50" i="4" s="1"/>
  <c r="Q50" i="4"/>
  <c r="AL50" i="4" s="1"/>
  <c r="R50" i="4"/>
  <c r="AM50" i="4" s="1"/>
  <c r="S50" i="4"/>
  <c r="T50" i="4"/>
  <c r="AO50" i="4" s="1"/>
  <c r="N51" i="4"/>
  <c r="AI51" i="4" s="1"/>
  <c r="O51" i="4"/>
  <c r="AJ51" i="4" s="1"/>
  <c r="P51" i="4"/>
  <c r="AK51" i="4" s="1"/>
  <c r="Q51" i="4"/>
  <c r="AL51" i="4" s="1"/>
  <c r="R51" i="4"/>
  <c r="AM51" i="4" s="1"/>
  <c r="S51" i="4"/>
  <c r="T51" i="4"/>
  <c r="AO51" i="4" s="1"/>
  <c r="N52" i="4"/>
  <c r="AI52" i="4" s="1"/>
  <c r="O52" i="4"/>
  <c r="AJ52" i="4" s="1"/>
  <c r="P52" i="4"/>
  <c r="AK52" i="4" s="1"/>
  <c r="Q52" i="4"/>
  <c r="AL52" i="4" s="1"/>
  <c r="R52" i="4"/>
  <c r="AM52" i="4" s="1"/>
  <c r="S52" i="4"/>
  <c r="T52" i="4"/>
  <c r="AO52" i="4" s="1"/>
  <c r="N53" i="4"/>
  <c r="AI53" i="4" s="1"/>
  <c r="O53" i="4"/>
  <c r="AJ53" i="4" s="1"/>
  <c r="P53" i="4"/>
  <c r="AK53" i="4" s="1"/>
  <c r="Q53" i="4"/>
  <c r="AL53" i="4" s="1"/>
  <c r="R53" i="4"/>
  <c r="AM53" i="4" s="1"/>
  <c r="S53" i="4"/>
  <c r="T53" i="4"/>
  <c r="AO53" i="4" s="1"/>
  <c r="N54" i="4"/>
  <c r="AI54" i="4" s="1"/>
  <c r="O54" i="4"/>
  <c r="AJ54" i="4" s="1"/>
  <c r="P54" i="4"/>
  <c r="AK54" i="4" s="1"/>
  <c r="Q54" i="4"/>
  <c r="AL54" i="4" s="1"/>
  <c r="R54" i="4"/>
  <c r="AM54" i="4" s="1"/>
  <c r="S54" i="4"/>
  <c r="T54" i="4"/>
  <c r="AO54" i="4" s="1"/>
  <c r="N55" i="4"/>
  <c r="AI55" i="4" s="1"/>
  <c r="O55" i="4"/>
  <c r="AJ55" i="4" s="1"/>
  <c r="P55" i="4"/>
  <c r="AK55" i="4" s="1"/>
  <c r="Q55" i="4"/>
  <c r="AL55" i="4" s="1"/>
  <c r="R55" i="4"/>
  <c r="AM55" i="4" s="1"/>
  <c r="S55" i="4"/>
  <c r="T55" i="4"/>
  <c r="AO55" i="4" s="1"/>
  <c r="N56" i="4"/>
  <c r="AI56" i="4" s="1"/>
  <c r="O56" i="4"/>
  <c r="AJ56" i="4" s="1"/>
  <c r="P56" i="4"/>
  <c r="AK56" i="4" s="1"/>
  <c r="Q56" i="4"/>
  <c r="AL56" i="4" s="1"/>
  <c r="R56" i="4"/>
  <c r="AM56" i="4" s="1"/>
  <c r="S56" i="4"/>
  <c r="T56" i="4"/>
  <c r="AO56" i="4" s="1"/>
  <c r="M45" i="4"/>
  <c r="AH45" i="4" s="1"/>
  <c r="M46" i="4"/>
  <c r="AH46" i="4" s="1"/>
  <c r="M47" i="4"/>
  <c r="AH47" i="4" s="1"/>
  <c r="M48" i="4"/>
  <c r="AH48" i="4" s="1"/>
  <c r="M49" i="4"/>
  <c r="AH49" i="4" s="1"/>
  <c r="M50" i="4"/>
  <c r="AH50" i="4" s="1"/>
  <c r="M51" i="4"/>
  <c r="AH51" i="4" s="1"/>
  <c r="M52" i="4"/>
  <c r="AH52" i="4" s="1"/>
  <c r="M53" i="4"/>
  <c r="AH53" i="4" s="1"/>
  <c r="M54" i="4"/>
  <c r="AH54" i="4" s="1"/>
  <c r="M55" i="4"/>
  <c r="AH55" i="4" s="1"/>
  <c r="M56" i="4"/>
  <c r="AH56" i="4" s="1"/>
  <c r="K56" i="4"/>
  <c r="AF56" i="4" s="1"/>
  <c r="L56" i="4"/>
  <c r="AG56" i="4" s="1"/>
  <c r="K47" i="4"/>
  <c r="AF47" i="4" s="1"/>
  <c r="L47" i="4"/>
  <c r="AG47" i="4" s="1"/>
  <c r="K48" i="4"/>
  <c r="AF48" i="4" s="1"/>
  <c r="L48" i="4"/>
  <c r="AG48" i="4" s="1"/>
  <c r="K49" i="4"/>
  <c r="AF49" i="4" s="1"/>
  <c r="L49" i="4"/>
  <c r="AG49" i="4" s="1"/>
  <c r="K50" i="4"/>
  <c r="AF50" i="4" s="1"/>
  <c r="L50" i="4"/>
  <c r="AG50" i="4" s="1"/>
  <c r="K51" i="4"/>
  <c r="AF51" i="4" s="1"/>
  <c r="L51" i="4"/>
  <c r="AG51" i="4" s="1"/>
  <c r="K52" i="4"/>
  <c r="AF52" i="4" s="1"/>
  <c r="L52" i="4"/>
  <c r="AG52" i="4" s="1"/>
  <c r="K53" i="4"/>
  <c r="AF53" i="4" s="1"/>
  <c r="L53" i="4"/>
  <c r="AG53" i="4" s="1"/>
  <c r="K54" i="4"/>
  <c r="AF54" i="4" s="1"/>
  <c r="L54" i="4"/>
  <c r="AG54" i="4" s="1"/>
  <c r="K55" i="4"/>
  <c r="AF55" i="4" s="1"/>
  <c r="L55" i="4"/>
  <c r="AG55" i="4" s="1"/>
  <c r="K46" i="4"/>
  <c r="AF46" i="4" s="1"/>
  <c r="L46" i="4"/>
  <c r="AG46" i="4" s="1"/>
  <c r="L45" i="4"/>
  <c r="AG45" i="4" s="1"/>
  <c r="K45" i="4"/>
  <c r="AF45" i="4" s="1"/>
  <c r="J45" i="4"/>
  <c r="AE45" i="4" s="1"/>
  <c r="J46" i="4"/>
  <c r="AE46" i="4" s="1"/>
  <c r="J47" i="4"/>
  <c r="AE47" i="4" s="1"/>
  <c r="J48" i="4"/>
  <c r="AE48" i="4" s="1"/>
  <c r="J49" i="4"/>
  <c r="AE49" i="4" s="1"/>
  <c r="J50" i="4"/>
  <c r="AE50" i="4" s="1"/>
  <c r="J51" i="4"/>
  <c r="AE51" i="4" s="1"/>
  <c r="J52" i="4"/>
  <c r="AE52" i="4" s="1"/>
  <c r="J53" i="4"/>
  <c r="AE53" i="4" s="1"/>
  <c r="J54" i="4"/>
  <c r="AE54" i="4" s="1"/>
  <c r="J55" i="4"/>
  <c r="AE55" i="4" s="1"/>
  <c r="J56" i="4"/>
  <c r="AE56" i="4" s="1"/>
  <c r="I45" i="4"/>
  <c r="AD45" i="4" s="1"/>
  <c r="I46" i="4"/>
  <c r="AD46" i="4" s="1"/>
  <c r="I47" i="4"/>
  <c r="AD47" i="4" s="1"/>
  <c r="I48" i="4"/>
  <c r="AD48" i="4" s="1"/>
  <c r="I49" i="4"/>
  <c r="AD49" i="4" s="1"/>
  <c r="I50" i="4"/>
  <c r="AD50" i="4" s="1"/>
  <c r="I51" i="4"/>
  <c r="AD51" i="4" s="1"/>
  <c r="I52" i="4"/>
  <c r="AD52" i="4" s="1"/>
  <c r="I53" i="4"/>
  <c r="AD53" i="4" s="1"/>
  <c r="I54" i="4"/>
  <c r="AD54" i="4" s="1"/>
  <c r="I55" i="4"/>
  <c r="AD55" i="4" s="1"/>
  <c r="I56" i="4"/>
  <c r="AD56" i="4" s="1"/>
  <c r="H45" i="4"/>
  <c r="AC45" i="4" s="1"/>
  <c r="H46" i="4"/>
  <c r="AC46" i="4" s="1"/>
  <c r="H47" i="4"/>
  <c r="AC47" i="4" s="1"/>
  <c r="H48" i="4"/>
  <c r="AC48" i="4" s="1"/>
  <c r="H49" i="4"/>
  <c r="AC49" i="4" s="1"/>
  <c r="H50" i="4"/>
  <c r="AC50" i="4" s="1"/>
  <c r="H51" i="4"/>
  <c r="AC51" i="4" s="1"/>
  <c r="H52" i="4"/>
  <c r="AC52" i="4" s="1"/>
  <c r="H53" i="4"/>
  <c r="AC53" i="4" s="1"/>
  <c r="H54" i="4"/>
  <c r="AC54" i="4" s="1"/>
  <c r="H55" i="4"/>
  <c r="AC55" i="4" s="1"/>
  <c r="H56" i="4"/>
  <c r="AC56" i="4" s="1"/>
  <c r="G45" i="4"/>
  <c r="AB45" i="4" s="1"/>
  <c r="G46" i="4"/>
  <c r="AB46" i="4" s="1"/>
  <c r="G47" i="4"/>
  <c r="AB47" i="4" s="1"/>
  <c r="G48" i="4"/>
  <c r="AB48" i="4" s="1"/>
  <c r="G49" i="4"/>
  <c r="AB49" i="4" s="1"/>
  <c r="G50" i="4"/>
  <c r="AB50" i="4" s="1"/>
  <c r="G51" i="4"/>
  <c r="AB51" i="4" s="1"/>
  <c r="G52" i="4"/>
  <c r="AB52" i="4" s="1"/>
  <c r="G53" i="4"/>
  <c r="AB53" i="4" s="1"/>
  <c r="G54" i="4"/>
  <c r="AB54" i="4" s="1"/>
  <c r="G55" i="4"/>
  <c r="AB55" i="4" s="1"/>
  <c r="G56" i="4"/>
  <c r="AB56" i="4" s="1"/>
  <c r="F45" i="4"/>
  <c r="AA45" i="4" s="1"/>
  <c r="F46" i="4"/>
  <c r="AA46" i="4" s="1"/>
  <c r="F47" i="4"/>
  <c r="AA47" i="4" s="1"/>
  <c r="F48" i="4"/>
  <c r="AA48" i="4" s="1"/>
  <c r="F49" i="4"/>
  <c r="AA49" i="4" s="1"/>
  <c r="F50" i="4"/>
  <c r="AA50" i="4" s="1"/>
  <c r="F51" i="4"/>
  <c r="AA51" i="4" s="1"/>
  <c r="F52" i="4"/>
  <c r="AA52" i="4" s="1"/>
  <c r="F53" i="4"/>
  <c r="AA53" i="4" s="1"/>
  <c r="F54" i="4"/>
  <c r="AA54" i="4" s="1"/>
  <c r="F55" i="4"/>
  <c r="AA55" i="4" s="1"/>
  <c r="F56" i="4"/>
  <c r="AA56" i="4" s="1"/>
  <c r="E45" i="4"/>
  <c r="Z45" i="4" s="1"/>
  <c r="E46" i="4"/>
  <c r="Z46" i="4" s="1"/>
  <c r="E47" i="4"/>
  <c r="Z47" i="4" s="1"/>
  <c r="E48" i="4"/>
  <c r="Z48" i="4" s="1"/>
  <c r="E49" i="4"/>
  <c r="Z49" i="4" s="1"/>
  <c r="E50" i="4"/>
  <c r="Z50" i="4" s="1"/>
  <c r="E51" i="4"/>
  <c r="Z51" i="4" s="1"/>
  <c r="E52" i="4"/>
  <c r="Z52" i="4" s="1"/>
  <c r="E53" i="4"/>
  <c r="Z53" i="4" s="1"/>
  <c r="E54" i="4"/>
  <c r="Z54" i="4" s="1"/>
  <c r="E55" i="4"/>
  <c r="Z55" i="4" s="1"/>
  <c r="E56" i="4"/>
  <c r="Z56" i="4" s="1"/>
  <c r="C46" i="4"/>
  <c r="D46" i="4"/>
  <c r="Y46" i="4" s="1"/>
  <c r="C47" i="4"/>
  <c r="D47" i="4"/>
  <c r="Y47" i="4" s="1"/>
  <c r="C48" i="4"/>
  <c r="D48" i="4"/>
  <c r="Y48" i="4" s="1"/>
  <c r="C49" i="4"/>
  <c r="D49" i="4"/>
  <c r="Y49" i="4" s="1"/>
  <c r="C50" i="4"/>
  <c r="D50" i="4"/>
  <c r="Y50" i="4" s="1"/>
  <c r="C51" i="4"/>
  <c r="D51" i="4"/>
  <c r="Y51" i="4" s="1"/>
  <c r="C52" i="4"/>
  <c r="D52" i="4"/>
  <c r="Y52" i="4" s="1"/>
  <c r="C53" i="4"/>
  <c r="D53" i="4"/>
  <c r="Y53" i="4" s="1"/>
  <c r="C54" i="4"/>
  <c r="D54" i="4"/>
  <c r="Y54" i="4" s="1"/>
  <c r="C55" i="4"/>
  <c r="D55" i="4"/>
  <c r="Y55" i="4" s="1"/>
  <c r="C56" i="4"/>
  <c r="D56" i="4"/>
  <c r="Y56" i="4" s="1"/>
  <c r="D45" i="4"/>
  <c r="Y45" i="4" s="1"/>
  <c r="C45" i="4"/>
  <c r="P43" i="4"/>
  <c r="AK43" i="4" s="1"/>
  <c r="O43" i="4"/>
  <c r="AJ43" i="4" s="1"/>
  <c r="P38" i="4"/>
  <c r="AK38" i="4" s="1"/>
  <c r="O38" i="4"/>
  <c r="AJ38" i="4" s="1"/>
  <c r="D25" i="4"/>
  <c r="Y25" i="4" s="1"/>
  <c r="E25" i="4"/>
  <c r="Z25" i="4" s="1"/>
  <c r="F25" i="4"/>
  <c r="AA25" i="4" s="1"/>
  <c r="G25" i="4"/>
  <c r="AB25" i="4" s="1"/>
  <c r="H25" i="4"/>
  <c r="AC25" i="4" s="1"/>
  <c r="C25" i="4"/>
  <c r="P25" i="4"/>
  <c r="AK25" i="4" s="1"/>
  <c r="O25" i="4"/>
  <c r="AJ25" i="4" s="1"/>
  <c r="P35" i="4"/>
  <c r="AK35" i="4" s="1"/>
  <c r="O35" i="4"/>
  <c r="AJ35" i="4" s="1"/>
  <c r="N34" i="4"/>
  <c r="AI34" i="4" s="1"/>
  <c r="O34" i="4"/>
  <c r="AJ34" i="4" s="1"/>
  <c r="P34" i="4"/>
  <c r="AK34" i="4" s="1"/>
  <c r="Q34" i="4"/>
  <c r="AL34" i="4" s="1"/>
  <c r="R34" i="4"/>
  <c r="AM34" i="4" s="1"/>
  <c r="S34" i="4"/>
  <c r="T34" i="4"/>
  <c r="AO34" i="4" s="1"/>
  <c r="N35" i="4"/>
  <c r="AI35" i="4" s="1"/>
  <c r="Q35" i="4"/>
  <c r="AL35" i="4" s="1"/>
  <c r="R35" i="4"/>
  <c r="AM35" i="4" s="1"/>
  <c r="S35" i="4"/>
  <c r="T35" i="4"/>
  <c r="AO35" i="4" s="1"/>
  <c r="N36" i="4"/>
  <c r="AI36" i="4" s="1"/>
  <c r="O36" i="4"/>
  <c r="AJ36" i="4" s="1"/>
  <c r="P36" i="4"/>
  <c r="AK36" i="4" s="1"/>
  <c r="Q36" i="4"/>
  <c r="AL36" i="4" s="1"/>
  <c r="R36" i="4"/>
  <c r="AM36" i="4" s="1"/>
  <c r="S36" i="4"/>
  <c r="T36" i="4"/>
  <c r="AO36" i="4" s="1"/>
  <c r="N37" i="4"/>
  <c r="AI37" i="4" s="1"/>
  <c r="O37" i="4"/>
  <c r="AJ37" i="4" s="1"/>
  <c r="P37" i="4"/>
  <c r="AK37" i="4" s="1"/>
  <c r="Q37" i="4"/>
  <c r="AL37" i="4" s="1"/>
  <c r="R37" i="4"/>
  <c r="AM37" i="4" s="1"/>
  <c r="S37" i="4"/>
  <c r="T37" i="4"/>
  <c r="AO37" i="4" s="1"/>
  <c r="N38" i="4"/>
  <c r="AI38" i="4" s="1"/>
  <c r="Q38" i="4"/>
  <c r="AL38" i="4" s="1"/>
  <c r="R38" i="4"/>
  <c r="AM38" i="4" s="1"/>
  <c r="S38" i="4"/>
  <c r="T38" i="4"/>
  <c r="AO38" i="4" s="1"/>
  <c r="N39" i="4"/>
  <c r="AI39" i="4" s="1"/>
  <c r="O39" i="4"/>
  <c r="AJ39" i="4" s="1"/>
  <c r="P39" i="4"/>
  <c r="AK39" i="4" s="1"/>
  <c r="Q39" i="4"/>
  <c r="AL39" i="4" s="1"/>
  <c r="R39" i="4"/>
  <c r="AM39" i="4" s="1"/>
  <c r="S39" i="4"/>
  <c r="T39" i="4"/>
  <c r="AO39" i="4" s="1"/>
  <c r="N40" i="4"/>
  <c r="AI40" i="4" s="1"/>
  <c r="O40" i="4"/>
  <c r="AJ40" i="4" s="1"/>
  <c r="P40" i="4"/>
  <c r="AK40" i="4" s="1"/>
  <c r="Q40" i="4"/>
  <c r="AL40" i="4" s="1"/>
  <c r="R40" i="4"/>
  <c r="AM40" i="4" s="1"/>
  <c r="S40" i="4"/>
  <c r="T40" i="4"/>
  <c r="AO40" i="4" s="1"/>
  <c r="N41" i="4"/>
  <c r="AI41" i="4" s="1"/>
  <c r="O41" i="4"/>
  <c r="AJ41" i="4" s="1"/>
  <c r="P41" i="4"/>
  <c r="AK41" i="4" s="1"/>
  <c r="Q41" i="4"/>
  <c r="AL41" i="4" s="1"/>
  <c r="R41" i="4"/>
  <c r="AM41" i="4" s="1"/>
  <c r="S41" i="4"/>
  <c r="T41" i="4"/>
  <c r="AO41" i="4" s="1"/>
  <c r="N42" i="4"/>
  <c r="AI42" i="4" s="1"/>
  <c r="O42" i="4"/>
  <c r="AJ42" i="4" s="1"/>
  <c r="P42" i="4"/>
  <c r="AK42" i="4" s="1"/>
  <c r="Q42" i="4"/>
  <c r="AL42" i="4" s="1"/>
  <c r="R42" i="4"/>
  <c r="AM42" i="4" s="1"/>
  <c r="S42" i="4"/>
  <c r="T42" i="4"/>
  <c r="AO42" i="4" s="1"/>
  <c r="N43" i="4"/>
  <c r="AI43" i="4" s="1"/>
  <c r="Q43" i="4"/>
  <c r="AL43" i="4" s="1"/>
  <c r="R43" i="4"/>
  <c r="AM43" i="4" s="1"/>
  <c r="S43" i="4"/>
  <c r="T43" i="4"/>
  <c r="AO43" i="4" s="1"/>
  <c r="N44" i="4"/>
  <c r="AI44" i="4" s="1"/>
  <c r="O44" i="4"/>
  <c r="AJ44" i="4" s="1"/>
  <c r="P44" i="4"/>
  <c r="AK44" i="4" s="1"/>
  <c r="Q44" i="4"/>
  <c r="AL44" i="4" s="1"/>
  <c r="R44" i="4"/>
  <c r="AM44" i="4" s="1"/>
  <c r="S44" i="4"/>
  <c r="T44" i="4"/>
  <c r="AO44" i="4" s="1"/>
  <c r="M26" i="4"/>
  <c r="AH26" i="4" s="1"/>
  <c r="N26" i="4"/>
  <c r="AI26" i="4" s="1"/>
  <c r="O26" i="4"/>
  <c r="AJ26" i="4" s="1"/>
  <c r="P26" i="4"/>
  <c r="AK26" i="4" s="1"/>
  <c r="Q26" i="4"/>
  <c r="AL26" i="4" s="1"/>
  <c r="R26" i="4"/>
  <c r="AM26" i="4" s="1"/>
  <c r="S26" i="4"/>
  <c r="T26" i="4"/>
  <c r="AO26" i="4" s="1"/>
  <c r="M27" i="4"/>
  <c r="AH27" i="4" s="1"/>
  <c r="N27" i="4"/>
  <c r="AI27" i="4" s="1"/>
  <c r="O27" i="4"/>
  <c r="AJ27" i="4" s="1"/>
  <c r="P27" i="4"/>
  <c r="AK27" i="4" s="1"/>
  <c r="Q27" i="4"/>
  <c r="AL27" i="4" s="1"/>
  <c r="R27" i="4"/>
  <c r="AM27" i="4" s="1"/>
  <c r="S27" i="4"/>
  <c r="T27" i="4"/>
  <c r="AO27" i="4" s="1"/>
  <c r="M28" i="4"/>
  <c r="AH28" i="4" s="1"/>
  <c r="N28" i="4"/>
  <c r="AI28" i="4" s="1"/>
  <c r="O28" i="4"/>
  <c r="AJ28" i="4" s="1"/>
  <c r="P28" i="4"/>
  <c r="AK28" i="4" s="1"/>
  <c r="Q28" i="4"/>
  <c r="AL28" i="4" s="1"/>
  <c r="R28" i="4"/>
  <c r="AM28" i="4" s="1"/>
  <c r="S28" i="4"/>
  <c r="T28" i="4"/>
  <c r="AO28" i="4" s="1"/>
  <c r="M29" i="4"/>
  <c r="AH29" i="4" s="1"/>
  <c r="N29" i="4"/>
  <c r="AI29" i="4" s="1"/>
  <c r="O29" i="4"/>
  <c r="AJ29" i="4" s="1"/>
  <c r="P29" i="4"/>
  <c r="AK29" i="4" s="1"/>
  <c r="Q29" i="4"/>
  <c r="AL29" i="4" s="1"/>
  <c r="R29" i="4"/>
  <c r="AM29" i="4" s="1"/>
  <c r="S29" i="4"/>
  <c r="T29" i="4"/>
  <c r="AO29" i="4" s="1"/>
  <c r="M30" i="4"/>
  <c r="AH30" i="4" s="1"/>
  <c r="N30" i="4"/>
  <c r="AI30" i="4" s="1"/>
  <c r="O30" i="4"/>
  <c r="AJ30" i="4" s="1"/>
  <c r="P30" i="4"/>
  <c r="AK30" i="4" s="1"/>
  <c r="Q30" i="4"/>
  <c r="AL30" i="4" s="1"/>
  <c r="R30" i="4"/>
  <c r="AM30" i="4" s="1"/>
  <c r="S30" i="4"/>
  <c r="T30" i="4"/>
  <c r="AO30" i="4" s="1"/>
  <c r="M31" i="4"/>
  <c r="AH31" i="4" s="1"/>
  <c r="N31" i="4"/>
  <c r="AI31" i="4" s="1"/>
  <c r="O31" i="4"/>
  <c r="AJ31" i="4" s="1"/>
  <c r="P31" i="4"/>
  <c r="AK31" i="4" s="1"/>
  <c r="Q31" i="4"/>
  <c r="AL31" i="4" s="1"/>
  <c r="R31" i="4"/>
  <c r="AM31" i="4" s="1"/>
  <c r="S31" i="4"/>
  <c r="T31" i="4"/>
  <c r="AO31" i="4" s="1"/>
  <c r="M32" i="4"/>
  <c r="AH32" i="4" s="1"/>
  <c r="N32" i="4"/>
  <c r="AI32" i="4" s="1"/>
  <c r="O32" i="4"/>
  <c r="AJ32" i="4" s="1"/>
  <c r="P32" i="4"/>
  <c r="AK32" i="4" s="1"/>
  <c r="Q32" i="4"/>
  <c r="AL32" i="4" s="1"/>
  <c r="R32" i="4"/>
  <c r="AM32" i="4" s="1"/>
  <c r="S32" i="4"/>
  <c r="T32" i="4"/>
  <c r="AO32" i="4" s="1"/>
  <c r="M33" i="4"/>
  <c r="AH33" i="4" s="1"/>
  <c r="N33" i="4"/>
  <c r="AI33" i="4" s="1"/>
  <c r="O33" i="4"/>
  <c r="AJ33" i="4" s="1"/>
  <c r="P33" i="4"/>
  <c r="AK33" i="4" s="1"/>
  <c r="Q33" i="4"/>
  <c r="AL33" i="4" s="1"/>
  <c r="R33" i="4"/>
  <c r="AM33" i="4" s="1"/>
  <c r="S33" i="4"/>
  <c r="T33" i="4"/>
  <c r="AO33" i="4" s="1"/>
  <c r="M34" i="4"/>
  <c r="AH34" i="4" s="1"/>
  <c r="N25" i="4"/>
  <c r="AI25" i="4" s="1"/>
  <c r="Q25" i="4"/>
  <c r="AL25" i="4" s="1"/>
  <c r="R25" i="4"/>
  <c r="AM25" i="4" s="1"/>
  <c r="S25" i="4"/>
  <c r="T25" i="4"/>
  <c r="AO25" i="4" s="1"/>
  <c r="M25" i="4"/>
  <c r="AH25" i="4" s="1"/>
  <c r="M35" i="4"/>
  <c r="AH35" i="4" s="1"/>
  <c r="M36" i="4"/>
  <c r="AH36" i="4" s="1"/>
  <c r="M37" i="4"/>
  <c r="AH37" i="4" s="1"/>
  <c r="M38" i="4"/>
  <c r="AH38" i="4" s="1"/>
  <c r="M39" i="4"/>
  <c r="AH39" i="4" s="1"/>
  <c r="M40" i="4"/>
  <c r="AH40" i="4" s="1"/>
  <c r="M41" i="4"/>
  <c r="AH41" i="4" s="1"/>
  <c r="M42" i="4"/>
  <c r="AH42" i="4" s="1"/>
  <c r="M43" i="4"/>
  <c r="AH43" i="4" s="1"/>
  <c r="M44" i="4"/>
  <c r="AH44" i="4" s="1"/>
  <c r="K26" i="4"/>
  <c r="AF26" i="4" s="1"/>
  <c r="L26" i="4"/>
  <c r="AG26" i="4" s="1"/>
  <c r="K27" i="4"/>
  <c r="AF27" i="4" s="1"/>
  <c r="L27" i="4"/>
  <c r="AG27" i="4" s="1"/>
  <c r="K28" i="4"/>
  <c r="AF28" i="4" s="1"/>
  <c r="L28" i="4"/>
  <c r="AG28" i="4" s="1"/>
  <c r="K29" i="4"/>
  <c r="AF29" i="4" s="1"/>
  <c r="L29" i="4"/>
  <c r="AG29" i="4" s="1"/>
  <c r="K30" i="4"/>
  <c r="AF30" i="4" s="1"/>
  <c r="L30" i="4"/>
  <c r="AG30" i="4" s="1"/>
  <c r="K31" i="4"/>
  <c r="AF31" i="4" s="1"/>
  <c r="L31" i="4"/>
  <c r="AG31" i="4" s="1"/>
  <c r="K32" i="4"/>
  <c r="AF32" i="4" s="1"/>
  <c r="L32" i="4"/>
  <c r="AG32" i="4" s="1"/>
  <c r="K33" i="4"/>
  <c r="AF33" i="4" s="1"/>
  <c r="L33" i="4"/>
  <c r="AG33" i="4" s="1"/>
  <c r="K34" i="4"/>
  <c r="AF34" i="4" s="1"/>
  <c r="L34" i="4"/>
  <c r="AG34" i="4" s="1"/>
  <c r="K35" i="4"/>
  <c r="AF35" i="4" s="1"/>
  <c r="L35" i="4"/>
  <c r="AG35" i="4" s="1"/>
  <c r="K36" i="4"/>
  <c r="AF36" i="4" s="1"/>
  <c r="L36" i="4"/>
  <c r="AG36" i="4" s="1"/>
  <c r="K37" i="4"/>
  <c r="AF37" i="4" s="1"/>
  <c r="L37" i="4"/>
  <c r="AG37" i="4" s="1"/>
  <c r="K38" i="4"/>
  <c r="AF38" i="4" s="1"/>
  <c r="L38" i="4"/>
  <c r="AG38" i="4" s="1"/>
  <c r="K39" i="4"/>
  <c r="AF39" i="4" s="1"/>
  <c r="L39" i="4"/>
  <c r="AG39" i="4" s="1"/>
  <c r="K40" i="4"/>
  <c r="AF40" i="4" s="1"/>
  <c r="L40" i="4"/>
  <c r="AG40" i="4" s="1"/>
  <c r="K41" i="4"/>
  <c r="AF41" i="4" s="1"/>
  <c r="L41" i="4"/>
  <c r="AG41" i="4" s="1"/>
  <c r="K42" i="4"/>
  <c r="AF42" i="4" s="1"/>
  <c r="L42" i="4"/>
  <c r="AG42" i="4" s="1"/>
  <c r="K43" i="4"/>
  <c r="AF43" i="4" s="1"/>
  <c r="L43" i="4"/>
  <c r="AG43" i="4" s="1"/>
  <c r="K44" i="4"/>
  <c r="AF44" i="4" s="1"/>
  <c r="L44" i="4"/>
  <c r="AG44" i="4" s="1"/>
  <c r="L25" i="4"/>
  <c r="AG25" i="4" s="1"/>
  <c r="K25" i="4"/>
  <c r="AF25" i="4" s="1"/>
  <c r="D43" i="4"/>
  <c r="Y43" i="4" s="1"/>
  <c r="E43" i="4"/>
  <c r="Z43" i="4" s="1"/>
  <c r="F43" i="4"/>
  <c r="AA43" i="4" s="1"/>
  <c r="G43" i="4"/>
  <c r="AB43" i="4" s="1"/>
  <c r="H43" i="4"/>
  <c r="AC43" i="4" s="1"/>
  <c r="C43" i="4"/>
  <c r="H38" i="4"/>
  <c r="AC38" i="4" s="1"/>
  <c r="G38" i="4"/>
  <c r="AB38" i="4" s="1"/>
  <c r="F38" i="4"/>
  <c r="AA38" i="4" s="1"/>
  <c r="E38" i="4"/>
  <c r="Z38" i="4" s="1"/>
  <c r="D38" i="4"/>
  <c r="Y38" i="4" s="1"/>
  <c r="D39" i="4"/>
  <c r="Y39" i="4" s="1"/>
  <c r="E39" i="4"/>
  <c r="Z39" i="4" s="1"/>
  <c r="F39" i="4"/>
  <c r="AA39" i="4" s="1"/>
  <c r="G39" i="4"/>
  <c r="AB39" i="4" s="1"/>
  <c r="H39" i="4"/>
  <c r="AC39" i="4" s="1"/>
  <c r="C38" i="4"/>
  <c r="D35" i="4"/>
  <c r="Y35" i="4" s="1"/>
  <c r="E35" i="4"/>
  <c r="Z35" i="4" s="1"/>
  <c r="F35" i="4"/>
  <c r="AA35" i="4" s="1"/>
  <c r="G35" i="4"/>
  <c r="AB35" i="4" s="1"/>
  <c r="H35" i="4"/>
  <c r="AC35" i="4" s="1"/>
  <c r="C35" i="4"/>
  <c r="C26" i="4"/>
  <c r="D26" i="4"/>
  <c r="Y26" i="4" s="1"/>
  <c r="E26" i="4"/>
  <c r="Z26" i="4" s="1"/>
  <c r="F26" i="4"/>
  <c r="AA26" i="4" s="1"/>
  <c r="G26" i="4"/>
  <c r="AB26" i="4" s="1"/>
  <c r="H26" i="4"/>
  <c r="AC26" i="4" s="1"/>
  <c r="I26" i="4"/>
  <c r="AD26" i="4" s="1"/>
  <c r="J26" i="4"/>
  <c r="AE26" i="4" s="1"/>
  <c r="C27" i="4"/>
  <c r="D27" i="4"/>
  <c r="Y27" i="4" s="1"/>
  <c r="E27" i="4"/>
  <c r="Z27" i="4" s="1"/>
  <c r="F27" i="4"/>
  <c r="AA27" i="4" s="1"/>
  <c r="G27" i="4"/>
  <c r="AB27" i="4" s="1"/>
  <c r="H27" i="4"/>
  <c r="AC27" i="4" s="1"/>
  <c r="I27" i="4"/>
  <c r="AD27" i="4" s="1"/>
  <c r="J27" i="4"/>
  <c r="AE27" i="4" s="1"/>
  <c r="C28" i="4"/>
  <c r="D28" i="4"/>
  <c r="Y28" i="4" s="1"/>
  <c r="E28" i="4"/>
  <c r="Z28" i="4" s="1"/>
  <c r="F28" i="4"/>
  <c r="AA28" i="4" s="1"/>
  <c r="G28" i="4"/>
  <c r="AB28" i="4" s="1"/>
  <c r="H28" i="4"/>
  <c r="AC28" i="4" s="1"/>
  <c r="I28" i="4"/>
  <c r="AD28" i="4" s="1"/>
  <c r="J28" i="4"/>
  <c r="AE28" i="4" s="1"/>
  <c r="C29" i="4"/>
  <c r="D29" i="4"/>
  <c r="Y29" i="4" s="1"/>
  <c r="E29" i="4"/>
  <c r="Z29" i="4" s="1"/>
  <c r="F29" i="4"/>
  <c r="AA29" i="4" s="1"/>
  <c r="G29" i="4"/>
  <c r="AB29" i="4" s="1"/>
  <c r="H29" i="4"/>
  <c r="AC29" i="4" s="1"/>
  <c r="I29" i="4"/>
  <c r="AD29" i="4" s="1"/>
  <c r="J29" i="4"/>
  <c r="AE29" i="4" s="1"/>
  <c r="C30" i="4"/>
  <c r="D30" i="4"/>
  <c r="Y30" i="4" s="1"/>
  <c r="E30" i="4"/>
  <c r="Z30" i="4" s="1"/>
  <c r="F30" i="4"/>
  <c r="AA30" i="4" s="1"/>
  <c r="G30" i="4"/>
  <c r="AB30" i="4" s="1"/>
  <c r="H30" i="4"/>
  <c r="AC30" i="4" s="1"/>
  <c r="I30" i="4"/>
  <c r="AD30" i="4" s="1"/>
  <c r="J30" i="4"/>
  <c r="AE30" i="4" s="1"/>
  <c r="C31" i="4"/>
  <c r="D31" i="4"/>
  <c r="Y31" i="4" s="1"/>
  <c r="E31" i="4"/>
  <c r="Z31" i="4" s="1"/>
  <c r="F31" i="4"/>
  <c r="AA31" i="4" s="1"/>
  <c r="G31" i="4"/>
  <c r="AB31" i="4" s="1"/>
  <c r="H31" i="4"/>
  <c r="AC31" i="4" s="1"/>
  <c r="I31" i="4"/>
  <c r="AD31" i="4" s="1"/>
  <c r="J31" i="4"/>
  <c r="AE31" i="4" s="1"/>
  <c r="C32" i="4"/>
  <c r="D32" i="4"/>
  <c r="Y32" i="4" s="1"/>
  <c r="E32" i="4"/>
  <c r="Z32" i="4" s="1"/>
  <c r="F32" i="4"/>
  <c r="AA32" i="4" s="1"/>
  <c r="G32" i="4"/>
  <c r="AB32" i="4" s="1"/>
  <c r="H32" i="4"/>
  <c r="AC32" i="4" s="1"/>
  <c r="I32" i="4"/>
  <c r="AD32" i="4" s="1"/>
  <c r="J32" i="4"/>
  <c r="AE32" i="4" s="1"/>
  <c r="C33" i="4"/>
  <c r="D33" i="4"/>
  <c r="Y33" i="4" s="1"/>
  <c r="E33" i="4"/>
  <c r="Z33" i="4" s="1"/>
  <c r="F33" i="4"/>
  <c r="AA33" i="4" s="1"/>
  <c r="G33" i="4"/>
  <c r="AB33" i="4" s="1"/>
  <c r="H33" i="4"/>
  <c r="AC33" i="4" s="1"/>
  <c r="I33" i="4"/>
  <c r="AD33" i="4" s="1"/>
  <c r="J33" i="4"/>
  <c r="AE33" i="4" s="1"/>
  <c r="C34" i="4"/>
  <c r="D34" i="4"/>
  <c r="Y34" i="4" s="1"/>
  <c r="E34" i="4"/>
  <c r="Z34" i="4" s="1"/>
  <c r="F34" i="4"/>
  <c r="AA34" i="4" s="1"/>
  <c r="G34" i="4"/>
  <c r="AB34" i="4" s="1"/>
  <c r="H34" i="4"/>
  <c r="AC34" i="4" s="1"/>
  <c r="I34" i="4"/>
  <c r="AD34" i="4" s="1"/>
  <c r="J34" i="4"/>
  <c r="AE34" i="4" s="1"/>
  <c r="I35" i="4"/>
  <c r="AD35" i="4" s="1"/>
  <c r="J35" i="4"/>
  <c r="AE35" i="4" s="1"/>
  <c r="C36" i="4"/>
  <c r="D36" i="4"/>
  <c r="Y36" i="4" s="1"/>
  <c r="E36" i="4"/>
  <c r="Z36" i="4" s="1"/>
  <c r="F36" i="4"/>
  <c r="AA36" i="4" s="1"/>
  <c r="G36" i="4"/>
  <c r="AB36" i="4" s="1"/>
  <c r="H36" i="4"/>
  <c r="AC36" i="4" s="1"/>
  <c r="I36" i="4"/>
  <c r="AD36" i="4" s="1"/>
  <c r="J36" i="4"/>
  <c r="AE36" i="4" s="1"/>
  <c r="C37" i="4"/>
  <c r="D37" i="4"/>
  <c r="Y37" i="4" s="1"/>
  <c r="E37" i="4"/>
  <c r="Z37" i="4" s="1"/>
  <c r="F37" i="4"/>
  <c r="AA37" i="4" s="1"/>
  <c r="G37" i="4"/>
  <c r="AB37" i="4" s="1"/>
  <c r="H37" i="4"/>
  <c r="AC37" i="4" s="1"/>
  <c r="I37" i="4"/>
  <c r="AD37" i="4" s="1"/>
  <c r="J37" i="4"/>
  <c r="AE37" i="4" s="1"/>
  <c r="I38" i="4"/>
  <c r="AD38" i="4" s="1"/>
  <c r="J38" i="4"/>
  <c r="AE38" i="4" s="1"/>
  <c r="C39" i="4"/>
  <c r="I39" i="4"/>
  <c r="AD39" i="4" s="1"/>
  <c r="J39" i="4"/>
  <c r="AE39" i="4" s="1"/>
  <c r="C40" i="4"/>
  <c r="D40" i="4"/>
  <c r="Y40" i="4" s="1"/>
  <c r="E40" i="4"/>
  <c r="Z40" i="4" s="1"/>
  <c r="F40" i="4"/>
  <c r="AA40" i="4" s="1"/>
  <c r="G40" i="4"/>
  <c r="AB40" i="4" s="1"/>
  <c r="H40" i="4"/>
  <c r="AC40" i="4" s="1"/>
  <c r="I40" i="4"/>
  <c r="AD40" i="4" s="1"/>
  <c r="J40" i="4"/>
  <c r="AE40" i="4" s="1"/>
  <c r="C41" i="4"/>
  <c r="D41" i="4"/>
  <c r="Y41" i="4" s="1"/>
  <c r="E41" i="4"/>
  <c r="Z41" i="4" s="1"/>
  <c r="F41" i="4"/>
  <c r="AA41" i="4" s="1"/>
  <c r="G41" i="4"/>
  <c r="AB41" i="4" s="1"/>
  <c r="H41" i="4"/>
  <c r="AC41" i="4" s="1"/>
  <c r="I41" i="4"/>
  <c r="AD41" i="4" s="1"/>
  <c r="J41" i="4"/>
  <c r="AE41" i="4" s="1"/>
  <c r="C42" i="4"/>
  <c r="D42" i="4"/>
  <c r="Y42" i="4" s="1"/>
  <c r="E42" i="4"/>
  <c r="Z42" i="4" s="1"/>
  <c r="F42" i="4"/>
  <c r="AA42" i="4" s="1"/>
  <c r="G42" i="4"/>
  <c r="AB42" i="4" s="1"/>
  <c r="H42" i="4"/>
  <c r="AC42" i="4" s="1"/>
  <c r="I42" i="4"/>
  <c r="AD42" i="4" s="1"/>
  <c r="J42" i="4"/>
  <c r="AE42" i="4" s="1"/>
  <c r="I43" i="4"/>
  <c r="AD43" i="4" s="1"/>
  <c r="J43" i="4"/>
  <c r="AE43" i="4" s="1"/>
  <c r="C44" i="4"/>
  <c r="D44" i="4"/>
  <c r="Y44" i="4" s="1"/>
  <c r="E44" i="4"/>
  <c r="Z44" i="4" s="1"/>
  <c r="F44" i="4"/>
  <c r="AA44" i="4" s="1"/>
  <c r="G44" i="4"/>
  <c r="AB44" i="4" s="1"/>
  <c r="H44" i="4"/>
  <c r="AC44" i="4" s="1"/>
  <c r="I44" i="4"/>
  <c r="AD44" i="4" s="1"/>
  <c r="J44" i="4"/>
  <c r="AE44" i="4" s="1"/>
  <c r="I25" i="4"/>
  <c r="AD25" i="4" s="1"/>
  <c r="J25" i="4"/>
  <c r="AE25" i="4" s="1"/>
  <c r="P11" i="4"/>
  <c r="AK11" i="4" s="1"/>
  <c r="Q11" i="4"/>
  <c r="AL11" i="4" s="1"/>
  <c r="R11" i="4"/>
  <c r="AM11" i="4" s="1"/>
  <c r="S11" i="4"/>
  <c r="T11" i="4"/>
  <c r="AO11" i="4" s="1"/>
  <c r="P12" i="4"/>
  <c r="AK12" i="4" s="1"/>
  <c r="Q12" i="4"/>
  <c r="AL12" i="4" s="1"/>
  <c r="R12" i="4"/>
  <c r="AM12" i="4" s="1"/>
  <c r="S12" i="4"/>
  <c r="T12" i="4"/>
  <c r="AO12" i="4" s="1"/>
  <c r="P13" i="4"/>
  <c r="AK13" i="4" s="1"/>
  <c r="Q13" i="4"/>
  <c r="AL13" i="4" s="1"/>
  <c r="R13" i="4"/>
  <c r="AM13" i="4" s="1"/>
  <c r="S13" i="4"/>
  <c r="T13" i="4"/>
  <c r="AO13" i="4" s="1"/>
  <c r="P14" i="4"/>
  <c r="AK14" i="4" s="1"/>
  <c r="Q14" i="4"/>
  <c r="AL14" i="4" s="1"/>
  <c r="R14" i="4"/>
  <c r="AM14" i="4" s="1"/>
  <c r="S14" i="4"/>
  <c r="T14" i="4"/>
  <c r="AO14" i="4" s="1"/>
  <c r="P15" i="4"/>
  <c r="AK15" i="4" s="1"/>
  <c r="Q15" i="4"/>
  <c r="AL15" i="4" s="1"/>
  <c r="R15" i="4"/>
  <c r="AM15" i="4" s="1"/>
  <c r="S15" i="4"/>
  <c r="T15" i="4"/>
  <c r="AO15" i="4" s="1"/>
  <c r="P16" i="4"/>
  <c r="AK16" i="4" s="1"/>
  <c r="Q16" i="4"/>
  <c r="AL16" i="4" s="1"/>
  <c r="R16" i="4"/>
  <c r="AM16" i="4" s="1"/>
  <c r="S16" i="4"/>
  <c r="T16" i="4"/>
  <c r="AO16" i="4" s="1"/>
  <c r="P17" i="4"/>
  <c r="AK17" i="4" s="1"/>
  <c r="Q17" i="4"/>
  <c r="AL17" i="4" s="1"/>
  <c r="R17" i="4"/>
  <c r="AM17" i="4" s="1"/>
  <c r="S17" i="4"/>
  <c r="T17" i="4"/>
  <c r="AO17" i="4" s="1"/>
  <c r="P18" i="4"/>
  <c r="AK18" i="4" s="1"/>
  <c r="Q18" i="4"/>
  <c r="AL18" i="4" s="1"/>
  <c r="R18" i="4"/>
  <c r="AM18" i="4" s="1"/>
  <c r="S18" i="4"/>
  <c r="T18" i="4"/>
  <c r="AO18" i="4" s="1"/>
  <c r="P19" i="4"/>
  <c r="Q19" i="4"/>
  <c r="R19" i="4"/>
  <c r="S19" i="4"/>
  <c r="T19" i="4"/>
  <c r="P20" i="4"/>
  <c r="AK20" i="4" s="1"/>
  <c r="Q20" i="4"/>
  <c r="AL20" i="4" s="1"/>
  <c r="R20" i="4"/>
  <c r="AM20" i="4" s="1"/>
  <c r="S20" i="4"/>
  <c r="T20" i="4"/>
  <c r="AO20" i="4" s="1"/>
  <c r="P21" i="4"/>
  <c r="AK21" i="4" s="1"/>
  <c r="Q21" i="4"/>
  <c r="AL21" i="4" s="1"/>
  <c r="R21" i="4"/>
  <c r="AM21" i="4" s="1"/>
  <c r="S21" i="4"/>
  <c r="T21" i="4"/>
  <c r="AO21" i="4" s="1"/>
  <c r="P22" i="4"/>
  <c r="AK22" i="4" s="1"/>
  <c r="Q22" i="4"/>
  <c r="AL22" i="4" s="1"/>
  <c r="R22" i="4"/>
  <c r="AM22" i="4" s="1"/>
  <c r="S22" i="4"/>
  <c r="T22" i="4"/>
  <c r="AO22" i="4" s="1"/>
  <c r="P23" i="4"/>
  <c r="AK23" i="4" s="1"/>
  <c r="Q23" i="4"/>
  <c r="AL23" i="4" s="1"/>
  <c r="R23" i="4"/>
  <c r="AM23" i="4" s="1"/>
  <c r="S23" i="4"/>
  <c r="T23" i="4"/>
  <c r="AO23" i="4" s="1"/>
  <c r="P24" i="4"/>
  <c r="AK24" i="4" s="1"/>
  <c r="Q24" i="4"/>
  <c r="AL24" i="4" s="1"/>
  <c r="R24" i="4"/>
  <c r="AM24" i="4" s="1"/>
  <c r="S24" i="4"/>
  <c r="T24" i="4"/>
  <c r="AO24" i="4" s="1"/>
  <c r="Q10" i="4"/>
  <c r="AL10" i="4" s="1"/>
  <c r="R10" i="4"/>
  <c r="AM10" i="4" s="1"/>
  <c r="S10" i="4"/>
  <c r="T10" i="4"/>
  <c r="AO10" i="4" s="1"/>
  <c r="N11" i="4"/>
  <c r="AI11" i="4" s="1"/>
  <c r="O11" i="4"/>
  <c r="AJ11" i="4" s="1"/>
  <c r="N12" i="4"/>
  <c r="AI12" i="4" s="1"/>
  <c r="O12" i="4"/>
  <c r="AJ12" i="4" s="1"/>
  <c r="N13" i="4"/>
  <c r="AI13" i="4" s="1"/>
  <c r="O13" i="4"/>
  <c r="AJ13" i="4" s="1"/>
  <c r="N14" i="4"/>
  <c r="AI14" i="4" s="1"/>
  <c r="O14" i="4"/>
  <c r="AJ14" i="4" s="1"/>
  <c r="N15" i="4"/>
  <c r="AI15" i="4" s="1"/>
  <c r="O15" i="4"/>
  <c r="AJ15" i="4" s="1"/>
  <c r="N16" i="4"/>
  <c r="AI16" i="4" s="1"/>
  <c r="O16" i="4"/>
  <c r="AJ16" i="4" s="1"/>
  <c r="N17" i="4"/>
  <c r="AI17" i="4" s="1"/>
  <c r="O17" i="4"/>
  <c r="AJ17" i="4" s="1"/>
  <c r="N18" i="4"/>
  <c r="AI18" i="4" s="1"/>
  <c r="O18" i="4"/>
  <c r="AJ18" i="4" s="1"/>
  <c r="N19" i="4"/>
  <c r="O19" i="4"/>
  <c r="N20" i="4"/>
  <c r="AI20" i="4" s="1"/>
  <c r="O20" i="4"/>
  <c r="AJ20" i="4" s="1"/>
  <c r="N21" i="4"/>
  <c r="AI21" i="4" s="1"/>
  <c r="O21" i="4"/>
  <c r="AJ21" i="4" s="1"/>
  <c r="N22" i="4"/>
  <c r="AI22" i="4" s="1"/>
  <c r="O22" i="4"/>
  <c r="AJ22" i="4" s="1"/>
  <c r="N23" i="4"/>
  <c r="AI23" i="4" s="1"/>
  <c r="O23" i="4"/>
  <c r="AJ23" i="4" s="1"/>
  <c r="N24" i="4"/>
  <c r="AI24" i="4" s="1"/>
  <c r="O24" i="4"/>
  <c r="AJ24" i="4" s="1"/>
  <c r="P10" i="4"/>
  <c r="AK10" i="4" s="1"/>
  <c r="O10" i="4"/>
  <c r="AJ10" i="4" s="1"/>
  <c r="M10" i="4"/>
  <c r="AH10" i="4" s="1"/>
  <c r="N10" i="4"/>
  <c r="AI10" i="4" s="1"/>
  <c r="M11" i="4"/>
  <c r="AH11" i="4" s="1"/>
  <c r="M12" i="4"/>
  <c r="AH12" i="4" s="1"/>
  <c r="M13" i="4"/>
  <c r="AH13" i="4" s="1"/>
  <c r="M14" i="4"/>
  <c r="AH14" i="4" s="1"/>
  <c r="M15" i="4"/>
  <c r="AH15" i="4" s="1"/>
  <c r="M16" i="4"/>
  <c r="AH16" i="4" s="1"/>
  <c r="M17" i="4"/>
  <c r="AH17" i="4" s="1"/>
  <c r="M18" i="4"/>
  <c r="AH18" i="4" s="1"/>
  <c r="M19" i="4"/>
  <c r="M20" i="4"/>
  <c r="AH20" i="4" s="1"/>
  <c r="M21" i="4"/>
  <c r="AH21" i="4" s="1"/>
  <c r="M22" i="4"/>
  <c r="AH22" i="4" s="1"/>
  <c r="M23" i="4"/>
  <c r="AH23" i="4" s="1"/>
  <c r="M24" i="4"/>
  <c r="AH24" i="4" s="1"/>
  <c r="K11" i="4"/>
  <c r="AF11" i="4" s="1"/>
  <c r="L11" i="4"/>
  <c r="AG11" i="4" s="1"/>
  <c r="K12" i="4"/>
  <c r="AF12" i="4" s="1"/>
  <c r="L12" i="4"/>
  <c r="AG12" i="4" s="1"/>
  <c r="K13" i="4"/>
  <c r="AF13" i="4" s="1"/>
  <c r="L13" i="4"/>
  <c r="AG13" i="4" s="1"/>
  <c r="K14" i="4"/>
  <c r="AF14" i="4" s="1"/>
  <c r="L14" i="4"/>
  <c r="AG14" i="4" s="1"/>
  <c r="K15" i="4"/>
  <c r="AF15" i="4" s="1"/>
  <c r="L15" i="4"/>
  <c r="AG15" i="4" s="1"/>
  <c r="K16" i="4"/>
  <c r="AF16" i="4" s="1"/>
  <c r="L16" i="4"/>
  <c r="AG16" i="4" s="1"/>
  <c r="K17" i="4"/>
  <c r="AF17" i="4" s="1"/>
  <c r="L17" i="4"/>
  <c r="AG17" i="4" s="1"/>
  <c r="K18" i="4"/>
  <c r="AF18" i="4" s="1"/>
  <c r="L18" i="4"/>
  <c r="AG18" i="4" s="1"/>
  <c r="K19" i="4"/>
  <c r="L19" i="4"/>
  <c r="K20" i="4"/>
  <c r="AF20" i="4" s="1"/>
  <c r="L20" i="4"/>
  <c r="AG20" i="4" s="1"/>
  <c r="K21" i="4"/>
  <c r="AF21" i="4" s="1"/>
  <c r="L21" i="4"/>
  <c r="AG21" i="4" s="1"/>
  <c r="K22" i="4"/>
  <c r="AF22" i="4" s="1"/>
  <c r="L22" i="4"/>
  <c r="AG22" i="4" s="1"/>
  <c r="K23" i="4"/>
  <c r="AF23" i="4" s="1"/>
  <c r="L23" i="4"/>
  <c r="AG23" i="4" s="1"/>
  <c r="K24" i="4"/>
  <c r="AF24" i="4" s="1"/>
  <c r="L24" i="4"/>
  <c r="AG24" i="4" s="1"/>
  <c r="L10" i="4"/>
  <c r="AG10" i="4" s="1"/>
  <c r="K10" i="4"/>
  <c r="AF10" i="4" s="1"/>
  <c r="E10" i="4"/>
  <c r="Z10" i="4" s="1"/>
  <c r="F10" i="4"/>
  <c r="AA10" i="4" s="1"/>
  <c r="G10" i="4"/>
  <c r="AB10" i="4" s="1"/>
  <c r="H10" i="4"/>
  <c r="AC10" i="4" s="1"/>
  <c r="I10" i="4"/>
  <c r="AD10" i="4" s="1"/>
  <c r="J10" i="4"/>
  <c r="AE10" i="4" s="1"/>
  <c r="E11" i="4"/>
  <c r="Z11" i="4" s="1"/>
  <c r="F11" i="4"/>
  <c r="AA11" i="4" s="1"/>
  <c r="G11" i="4"/>
  <c r="AB11" i="4" s="1"/>
  <c r="H11" i="4"/>
  <c r="AC11" i="4" s="1"/>
  <c r="I11" i="4"/>
  <c r="AD11" i="4" s="1"/>
  <c r="J11" i="4"/>
  <c r="AE11" i="4" s="1"/>
  <c r="E12" i="4"/>
  <c r="Z12" i="4" s="1"/>
  <c r="F12" i="4"/>
  <c r="AA12" i="4" s="1"/>
  <c r="G12" i="4"/>
  <c r="AB12" i="4" s="1"/>
  <c r="H12" i="4"/>
  <c r="AC12" i="4" s="1"/>
  <c r="I12" i="4"/>
  <c r="AD12" i="4" s="1"/>
  <c r="J12" i="4"/>
  <c r="AE12" i="4" s="1"/>
  <c r="E13" i="4"/>
  <c r="Z13" i="4" s="1"/>
  <c r="F13" i="4"/>
  <c r="AA13" i="4" s="1"/>
  <c r="G13" i="4"/>
  <c r="AB13" i="4" s="1"/>
  <c r="H13" i="4"/>
  <c r="AC13" i="4" s="1"/>
  <c r="I13" i="4"/>
  <c r="AD13" i="4" s="1"/>
  <c r="J13" i="4"/>
  <c r="AE13" i="4" s="1"/>
  <c r="E14" i="4"/>
  <c r="Z14" i="4" s="1"/>
  <c r="F14" i="4"/>
  <c r="AA14" i="4" s="1"/>
  <c r="G14" i="4"/>
  <c r="AB14" i="4" s="1"/>
  <c r="H14" i="4"/>
  <c r="AC14" i="4" s="1"/>
  <c r="I14" i="4"/>
  <c r="AD14" i="4" s="1"/>
  <c r="J14" i="4"/>
  <c r="AE14" i="4" s="1"/>
  <c r="E15" i="4"/>
  <c r="Z15" i="4" s="1"/>
  <c r="F15" i="4"/>
  <c r="AA15" i="4" s="1"/>
  <c r="G15" i="4"/>
  <c r="AB15" i="4" s="1"/>
  <c r="H15" i="4"/>
  <c r="AC15" i="4" s="1"/>
  <c r="I15" i="4"/>
  <c r="AD15" i="4" s="1"/>
  <c r="J15" i="4"/>
  <c r="AE15" i="4" s="1"/>
  <c r="E16" i="4"/>
  <c r="Z16" i="4" s="1"/>
  <c r="F16" i="4"/>
  <c r="AA16" i="4" s="1"/>
  <c r="G16" i="4"/>
  <c r="AB16" i="4" s="1"/>
  <c r="H16" i="4"/>
  <c r="AC16" i="4" s="1"/>
  <c r="I16" i="4"/>
  <c r="AD16" i="4" s="1"/>
  <c r="J16" i="4"/>
  <c r="AE16" i="4" s="1"/>
  <c r="E17" i="4"/>
  <c r="Z17" i="4" s="1"/>
  <c r="F17" i="4"/>
  <c r="AA17" i="4" s="1"/>
  <c r="G17" i="4"/>
  <c r="AB17" i="4" s="1"/>
  <c r="H17" i="4"/>
  <c r="AC17" i="4" s="1"/>
  <c r="I17" i="4"/>
  <c r="AD17" i="4" s="1"/>
  <c r="J17" i="4"/>
  <c r="AE17" i="4" s="1"/>
  <c r="E18" i="4"/>
  <c r="Z18" i="4" s="1"/>
  <c r="F18" i="4"/>
  <c r="AA18" i="4" s="1"/>
  <c r="G18" i="4"/>
  <c r="AB18" i="4" s="1"/>
  <c r="H18" i="4"/>
  <c r="AC18" i="4" s="1"/>
  <c r="I18" i="4"/>
  <c r="AD18" i="4" s="1"/>
  <c r="J18" i="4"/>
  <c r="AE18" i="4" s="1"/>
  <c r="E19" i="4"/>
  <c r="F19" i="4"/>
  <c r="G19" i="4"/>
  <c r="H19" i="4"/>
  <c r="I19" i="4"/>
  <c r="J19" i="4"/>
  <c r="E20" i="4"/>
  <c r="Z20" i="4" s="1"/>
  <c r="F20" i="4"/>
  <c r="AA20" i="4" s="1"/>
  <c r="G20" i="4"/>
  <c r="AB20" i="4" s="1"/>
  <c r="H20" i="4"/>
  <c r="AC20" i="4" s="1"/>
  <c r="I20" i="4"/>
  <c r="AD20" i="4" s="1"/>
  <c r="J20" i="4"/>
  <c r="AE20" i="4" s="1"/>
  <c r="E21" i="4"/>
  <c r="Z21" i="4" s="1"/>
  <c r="F21" i="4"/>
  <c r="AA21" i="4" s="1"/>
  <c r="G21" i="4"/>
  <c r="AB21" i="4" s="1"/>
  <c r="H21" i="4"/>
  <c r="AC21" i="4" s="1"/>
  <c r="I21" i="4"/>
  <c r="AD21" i="4" s="1"/>
  <c r="J21" i="4"/>
  <c r="AE21" i="4" s="1"/>
  <c r="E22" i="4"/>
  <c r="Z22" i="4" s="1"/>
  <c r="F22" i="4"/>
  <c r="AA22" i="4" s="1"/>
  <c r="G22" i="4"/>
  <c r="AB22" i="4" s="1"/>
  <c r="H22" i="4"/>
  <c r="AC22" i="4" s="1"/>
  <c r="I22" i="4"/>
  <c r="AD22" i="4" s="1"/>
  <c r="J22" i="4"/>
  <c r="AE22" i="4" s="1"/>
  <c r="E23" i="4"/>
  <c r="Z23" i="4" s="1"/>
  <c r="F23" i="4"/>
  <c r="AA23" i="4" s="1"/>
  <c r="G23" i="4"/>
  <c r="AB23" i="4" s="1"/>
  <c r="H23" i="4"/>
  <c r="AC23" i="4" s="1"/>
  <c r="I23" i="4"/>
  <c r="AD23" i="4" s="1"/>
  <c r="J23" i="4"/>
  <c r="AE23" i="4" s="1"/>
  <c r="E24" i="4"/>
  <c r="Z24" i="4" s="1"/>
  <c r="F24" i="4"/>
  <c r="AA24" i="4" s="1"/>
  <c r="G24" i="4"/>
  <c r="AB24" i="4" s="1"/>
  <c r="H24" i="4"/>
  <c r="AC24" i="4" s="1"/>
  <c r="I24" i="4"/>
  <c r="AD24" i="4" s="1"/>
  <c r="J24" i="4"/>
  <c r="AE24" i="4" s="1"/>
  <c r="C11" i="4"/>
  <c r="D11" i="4"/>
  <c r="Y11" i="4" s="1"/>
  <c r="C12" i="4"/>
  <c r="D12" i="4"/>
  <c r="Y12" i="4" s="1"/>
  <c r="C13" i="4"/>
  <c r="D13" i="4"/>
  <c r="Y13" i="4" s="1"/>
  <c r="C14" i="4"/>
  <c r="D14" i="4"/>
  <c r="Y14" i="4" s="1"/>
  <c r="C15" i="4"/>
  <c r="D15" i="4"/>
  <c r="Y15" i="4" s="1"/>
  <c r="C16" i="4"/>
  <c r="D16" i="4"/>
  <c r="Y16" i="4" s="1"/>
  <c r="C17" i="4"/>
  <c r="D17" i="4"/>
  <c r="Y17" i="4" s="1"/>
  <c r="C18" i="4"/>
  <c r="D18" i="4"/>
  <c r="Y18" i="4" s="1"/>
  <c r="C19" i="4"/>
  <c r="D19" i="4"/>
  <c r="C20" i="4"/>
  <c r="D20" i="4"/>
  <c r="Y20" i="4" s="1"/>
  <c r="C21" i="4"/>
  <c r="D21" i="4"/>
  <c r="Y21" i="4" s="1"/>
  <c r="C22" i="4"/>
  <c r="D22" i="4"/>
  <c r="Y22" i="4" s="1"/>
  <c r="C23" i="4"/>
  <c r="D23" i="4"/>
  <c r="Y23" i="4" s="1"/>
  <c r="C24" i="4"/>
  <c r="D24" i="4"/>
  <c r="Y24" i="4" s="1"/>
  <c r="D10" i="4"/>
  <c r="Y10" i="4" s="1"/>
  <c r="C10" i="4"/>
  <c r="E26" i="3"/>
  <c r="F26" i="3"/>
  <c r="G26" i="3"/>
  <c r="D26" i="3"/>
  <c r="AN10" i="4" l="1"/>
  <c r="AQ10" i="4"/>
  <c r="AN24" i="4"/>
  <c r="AQ24" i="4"/>
  <c r="AN20" i="4"/>
  <c r="AQ20" i="4"/>
  <c r="AN12" i="4"/>
  <c r="AQ12" i="4"/>
  <c r="AN43" i="4"/>
  <c r="AQ43" i="4"/>
  <c r="AN41" i="4"/>
  <c r="AQ41" i="4"/>
  <c r="AN35" i="4"/>
  <c r="AQ35" i="4"/>
  <c r="AN54" i="4"/>
  <c r="AQ54" i="4"/>
  <c r="AN50" i="4"/>
  <c r="AQ50" i="4"/>
  <c r="AN46" i="4"/>
  <c r="AQ46" i="4"/>
  <c r="AN61" i="4"/>
  <c r="AQ61" i="4"/>
  <c r="AN59" i="4"/>
  <c r="AQ59" i="4"/>
  <c r="AN84" i="4"/>
  <c r="AQ84" i="4"/>
  <c r="AN83" i="4"/>
  <c r="AQ83" i="4"/>
  <c r="AN81" i="4"/>
  <c r="AQ81" i="4"/>
  <c r="AN79" i="4"/>
  <c r="AQ79" i="4"/>
  <c r="AN75" i="4"/>
  <c r="AQ75" i="4"/>
  <c r="AN71" i="4"/>
  <c r="AQ71" i="4"/>
  <c r="AN107" i="4"/>
  <c r="AQ107" i="4"/>
  <c r="AN105" i="4"/>
  <c r="AQ105" i="4"/>
  <c r="AN111" i="4"/>
  <c r="AQ111" i="4"/>
  <c r="AN116" i="4"/>
  <c r="AQ116" i="4"/>
  <c r="AN113" i="4"/>
  <c r="AQ113" i="4"/>
  <c r="AN118" i="4"/>
  <c r="AQ118" i="4"/>
  <c r="AN23" i="4"/>
  <c r="AQ23" i="4"/>
  <c r="AN15" i="4"/>
  <c r="AQ15" i="4"/>
  <c r="AN33" i="4"/>
  <c r="AQ33" i="4"/>
  <c r="AN32" i="4"/>
  <c r="AQ32" i="4"/>
  <c r="AN30" i="4"/>
  <c r="AQ30" i="4"/>
  <c r="AN28" i="4"/>
  <c r="AQ28" i="4"/>
  <c r="AN27" i="4"/>
  <c r="AQ27" i="4"/>
  <c r="AN26" i="4"/>
  <c r="AQ26" i="4"/>
  <c r="AN34" i="4"/>
  <c r="AQ34" i="4"/>
  <c r="AN64" i="4"/>
  <c r="AQ64" i="4"/>
  <c r="AN101" i="4"/>
  <c r="AQ101" i="4"/>
  <c r="AN22" i="4"/>
  <c r="AQ22" i="4"/>
  <c r="AN18" i="4"/>
  <c r="AQ18" i="4"/>
  <c r="AN14" i="4"/>
  <c r="AQ14" i="4"/>
  <c r="AN39" i="4"/>
  <c r="AQ39" i="4"/>
  <c r="AN37" i="4"/>
  <c r="AQ37" i="4"/>
  <c r="AN56" i="4"/>
  <c r="AQ56" i="4"/>
  <c r="AN52" i="4"/>
  <c r="AQ52" i="4"/>
  <c r="AN48" i="4"/>
  <c r="AQ48" i="4"/>
  <c r="AN57" i="4"/>
  <c r="AQ57" i="4"/>
  <c r="AN62" i="4"/>
  <c r="AQ62" i="4"/>
  <c r="AN60" i="4"/>
  <c r="AQ60" i="4"/>
  <c r="AN58" i="4"/>
  <c r="AQ58" i="4"/>
  <c r="AN82" i="4"/>
  <c r="AQ82" i="4"/>
  <c r="AN80" i="4"/>
  <c r="AQ80" i="4"/>
  <c r="AN78" i="4"/>
  <c r="AQ78" i="4"/>
  <c r="AN77" i="4"/>
  <c r="AQ77" i="4"/>
  <c r="AN76" i="4"/>
  <c r="AQ76" i="4"/>
  <c r="AN74" i="4"/>
  <c r="AQ74" i="4"/>
  <c r="AN73" i="4"/>
  <c r="AQ73" i="4"/>
  <c r="AN72" i="4"/>
  <c r="AQ72" i="4"/>
  <c r="AN70" i="4"/>
  <c r="AQ70" i="4"/>
  <c r="AN69" i="4"/>
  <c r="AQ69" i="4"/>
  <c r="AN68" i="4"/>
  <c r="AQ68" i="4"/>
  <c r="AN65" i="4"/>
  <c r="AQ65" i="4"/>
  <c r="AN100" i="4"/>
  <c r="AQ100" i="4"/>
  <c r="AN98" i="4"/>
  <c r="AQ98" i="4"/>
  <c r="AN96" i="4"/>
  <c r="AQ96" i="4"/>
  <c r="AN94" i="4"/>
  <c r="AQ94" i="4"/>
  <c r="AN92" i="4"/>
  <c r="AQ92" i="4"/>
  <c r="AN90" i="4"/>
  <c r="AQ90" i="4"/>
  <c r="AN88" i="4"/>
  <c r="AQ88" i="4"/>
  <c r="AN86" i="4"/>
  <c r="AQ86" i="4"/>
  <c r="AN108" i="4"/>
  <c r="AQ108" i="4"/>
  <c r="AN106" i="4"/>
  <c r="AQ106" i="4"/>
  <c r="AN104" i="4"/>
  <c r="AQ104" i="4"/>
  <c r="AN102" i="4"/>
  <c r="AQ102" i="4"/>
  <c r="AN16" i="4"/>
  <c r="AQ16" i="4"/>
  <c r="AN67" i="4"/>
  <c r="AQ67" i="4"/>
  <c r="AN66" i="4"/>
  <c r="AQ66" i="4"/>
  <c r="AN99" i="4"/>
  <c r="AQ99" i="4"/>
  <c r="AN97" i="4"/>
  <c r="AQ97" i="4"/>
  <c r="AN95" i="4"/>
  <c r="AQ95" i="4"/>
  <c r="AN93" i="4"/>
  <c r="AQ93" i="4"/>
  <c r="AN91" i="4"/>
  <c r="AQ91" i="4"/>
  <c r="AN89" i="4"/>
  <c r="AQ89" i="4"/>
  <c r="AN87" i="4"/>
  <c r="AQ87" i="4"/>
  <c r="AN103" i="4"/>
  <c r="AQ103" i="4"/>
  <c r="AN112" i="4"/>
  <c r="AQ112" i="4"/>
  <c r="AN110" i="4"/>
  <c r="AQ110" i="4"/>
  <c r="AN115" i="4"/>
  <c r="AQ115" i="4"/>
  <c r="AN114" i="4"/>
  <c r="AQ114" i="4"/>
  <c r="AN117" i="4"/>
  <c r="AQ117" i="4"/>
  <c r="AQ19" i="4"/>
  <c r="AN11" i="4"/>
  <c r="AQ11" i="4"/>
  <c r="AN31" i="4"/>
  <c r="AQ31" i="4"/>
  <c r="AN29" i="4"/>
  <c r="AQ29" i="4"/>
  <c r="AN44" i="4"/>
  <c r="AQ44" i="4"/>
  <c r="AN42" i="4"/>
  <c r="AQ42" i="4"/>
  <c r="AN38" i="4"/>
  <c r="AQ38" i="4"/>
  <c r="AN36" i="4"/>
  <c r="AQ36" i="4"/>
  <c r="AN55" i="4"/>
  <c r="AQ55" i="4"/>
  <c r="AN51" i="4"/>
  <c r="AQ51" i="4"/>
  <c r="AN47" i="4"/>
  <c r="AQ47" i="4"/>
  <c r="AN63" i="4"/>
  <c r="AQ63" i="4"/>
  <c r="AN85" i="4"/>
  <c r="AQ85" i="4"/>
  <c r="AN21" i="4"/>
  <c r="AQ21" i="4"/>
  <c r="AN17" i="4"/>
  <c r="AQ17" i="4"/>
  <c r="AN13" i="4"/>
  <c r="AQ13" i="4"/>
  <c r="AN25" i="4"/>
  <c r="AQ25" i="4"/>
  <c r="AN40" i="4"/>
  <c r="AQ40" i="4"/>
  <c r="AN53" i="4"/>
  <c r="AQ53" i="4"/>
  <c r="AN49" i="4"/>
  <c r="AR49" i="4" s="1"/>
  <c r="AQ49" i="4"/>
  <c r="AN45" i="4"/>
  <c r="AQ45" i="4"/>
  <c r="AN109" i="4"/>
  <c r="AR109" i="4" s="1"/>
  <c r="AQ109" i="4"/>
  <c r="T112" i="2"/>
  <c r="T25" i="2"/>
  <c r="T49" i="2"/>
  <c r="T65" i="2"/>
  <c r="T81" i="2"/>
  <c r="T97" i="2"/>
  <c r="T113" i="2"/>
  <c r="T75" i="2"/>
  <c r="T111" i="2"/>
  <c r="T52" i="2"/>
  <c r="T84" i="2"/>
  <c r="T116" i="2"/>
  <c r="T30" i="2"/>
  <c r="T46" i="2"/>
  <c r="T62" i="2"/>
  <c r="T78" i="2"/>
  <c r="T102" i="2"/>
  <c r="T11" i="2"/>
  <c r="T39" i="2"/>
  <c r="T32" i="2"/>
  <c r="T64" i="2"/>
  <c r="T96" i="2"/>
  <c r="T13" i="2"/>
  <c r="T21" i="2"/>
  <c r="T29" i="2"/>
  <c r="T37" i="2"/>
  <c r="T45" i="2"/>
  <c r="T53" i="2"/>
  <c r="T69" i="2"/>
  <c r="T77" i="2"/>
  <c r="T85" i="2"/>
  <c r="T93" i="2"/>
  <c r="T101" i="2"/>
  <c r="T109" i="2"/>
  <c r="T8" i="2"/>
  <c r="T43" i="2"/>
  <c r="T63" i="2"/>
  <c r="T83" i="2"/>
  <c r="T103" i="2"/>
  <c r="T12" i="2"/>
  <c r="T28" i="2"/>
  <c r="T44" i="2"/>
  <c r="T60" i="2"/>
  <c r="T76" i="2"/>
  <c r="T92" i="2"/>
  <c r="T108" i="2"/>
  <c r="T10" i="2"/>
  <c r="T18" i="2"/>
  <c r="T26" i="2"/>
  <c r="T34" i="2"/>
  <c r="T42" i="2"/>
  <c r="T50" i="2"/>
  <c r="T58" i="2"/>
  <c r="T66" i="2"/>
  <c r="T74" i="2"/>
  <c r="T82" i="2"/>
  <c r="T90" i="2"/>
  <c r="T98" i="2"/>
  <c r="T106" i="2"/>
  <c r="T114" i="2"/>
  <c r="T15" i="2"/>
  <c r="T27" i="2"/>
  <c r="T35" i="2"/>
  <c r="T47" i="2"/>
  <c r="T59" i="2"/>
  <c r="T71" i="2"/>
  <c r="T87" i="2"/>
  <c r="T99" i="2"/>
  <c r="T115" i="2"/>
  <c r="T24" i="2"/>
  <c r="T40" i="2"/>
  <c r="T56" i="2"/>
  <c r="T72" i="2"/>
  <c r="T88" i="2"/>
  <c r="T104" i="2"/>
  <c r="T17" i="2"/>
  <c r="T33" i="2"/>
  <c r="T41" i="2"/>
  <c r="T57" i="2"/>
  <c r="T73" i="2"/>
  <c r="T89" i="2"/>
  <c r="T105" i="2"/>
  <c r="T23" i="2"/>
  <c r="T55" i="2"/>
  <c r="T91" i="2"/>
  <c r="T20" i="2"/>
  <c r="T36" i="2"/>
  <c r="T68" i="2"/>
  <c r="T100" i="2"/>
  <c r="T14" i="2"/>
  <c r="T22" i="2"/>
  <c r="T38" i="2"/>
  <c r="T54" i="2"/>
  <c r="T70" i="2"/>
  <c r="T86" i="2"/>
  <c r="T94" i="2"/>
  <c r="T110" i="2"/>
  <c r="T19" i="2"/>
  <c r="T31" i="2"/>
  <c r="T51" i="2"/>
  <c r="T67" i="2"/>
  <c r="T79" i="2"/>
  <c r="T95" i="2"/>
  <c r="T107" i="2"/>
  <c r="T16" i="2"/>
  <c r="T48" i="2"/>
  <c r="T80" i="2"/>
  <c r="AG19" i="4"/>
  <c r="H14" i="9"/>
  <c r="X10" i="4"/>
  <c r="Y19" i="4"/>
  <c r="D14" i="9"/>
  <c r="AA19" i="4"/>
  <c r="E14" i="9"/>
  <c r="AL19" i="4"/>
  <c r="K12" i="9"/>
  <c r="X39" i="4"/>
  <c r="X32" i="4"/>
  <c r="X29" i="4"/>
  <c r="X27" i="4"/>
  <c r="X26" i="4"/>
  <c r="X23" i="4"/>
  <c r="X21" i="4"/>
  <c r="X19" i="4"/>
  <c r="D12" i="9"/>
  <c r="X17" i="4"/>
  <c r="X15" i="4"/>
  <c r="X13" i="4"/>
  <c r="X11" i="4"/>
  <c r="AD19" i="4"/>
  <c r="G12" i="9"/>
  <c r="Z19" i="4"/>
  <c r="E12" i="9"/>
  <c r="AF19" i="4"/>
  <c r="H12" i="9"/>
  <c r="AO19" i="4"/>
  <c r="L14" i="9"/>
  <c r="AK19" i="4"/>
  <c r="J14" i="9"/>
  <c r="X42" i="4"/>
  <c r="X41" i="4"/>
  <c r="X40" i="4"/>
  <c r="X35" i="4"/>
  <c r="X56" i="4"/>
  <c r="X54" i="4"/>
  <c r="X52" i="4"/>
  <c r="X50" i="4"/>
  <c r="X48" i="4"/>
  <c r="X46" i="4"/>
  <c r="X62" i="4"/>
  <c r="X61" i="4"/>
  <c r="X60" i="4"/>
  <c r="X59" i="4"/>
  <c r="X58" i="4"/>
  <c r="X84" i="4"/>
  <c r="X83" i="4"/>
  <c r="X82" i="4"/>
  <c r="X81" i="4"/>
  <c r="X80" i="4"/>
  <c r="X79" i="4"/>
  <c r="X78" i="4"/>
  <c r="X77" i="4"/>
  <c r="X76" i="4"/>
  <c r="X75" i="4"/>
  <c r="X74" i="4"/>
  <c r="X73" i="4"/>
  <c r="X72" i="4"/>
  <c r="X71" i="4"/>
  <c r="X70" i="4"/>
  <c r="X69" i="4"/>
  <c r="X68" i="4"/>
  <c r="X67" i="4"/>
  <c r="X66" i="4"/>
  <c r="X65" i="4"/>
  <c r="X100" i="4"/>
  <c r="X99" i="4"/>
  <c r="X98" i="4"/>
  <c r="X97" i="4"/>
  <c r="X96" i="4"/>
  <c r="X95" i="4"/>
  <c r="X94" i="4"/>
  <c r="X93" i="4"/>
  <c r="X92" i="4"/>
  <c r="X91" i="4"/>
  <c r="X90" i="4"/>
  <c r="X89" i="4"/>
  <c r="X88" i="4"/>
  <c r="X87" i="4"/>
  <c r="X86" i="4"/>
  <c r="X108" i="4"/>
  <c r="X107" i="4"/>
  <c r="X106" i="4"/>
  <c r="X105" i="4"/>
  <c r="X104" i="4"/>
  <c r="X103" i="4"/>
  <c r="X102" i="4"/>
  <c r="X118" i="4"/>
  <c r="X117" i="4"/>
  <c r="X116" i="4"/>
  <c r="X115" i="4"/>
  <c r="X114" i="4"/>
  <c r="X113" i="4"/>
  <c r="X112" i="4"/>
  <c r="X111" i="4"/>
  <c r="X110" i="4"/>
  <c r="AC19" i="4"/>
  <c r="F14" i="9"/>
  <c r="AJ19" i="4"/>
  <c r="J12" i="9"/>
  <c r="AN19" i="4"/>
  <c r="L12" i="9"/>
  <c r="X37" i="4"/>
  <c r="X36" i="4"/>
  <c r="X43" i="4"/>
  <c r="X45" i="4"/>
  <c r="X57" i="4"/>
  <c r="X63" i="4"/>
  <c r="X64" i="4"/>
  <c r="X85" i="4"/>
  <c r="X101" i="4"/>
  <c r="X109" i="4"/>
  <c r="AE19" i="4"/>
  <c r="G14" i="9"/>
  <c r="X34" i="4"/>
  <c r="X33" i="4"/>
  <c r="X31" i="4"/>
  <c r="X30" i="4"/>
  <c r="X28" i="4"/>
  <c r="X25" i="4"/>
  <c r="X24" i="4"/>
  <c r="X22" i="4"/>
  <c r="X20" i="4"/>
  <c r="X18" i="4"/>
  <c r="X16" i="4"/>
  <c r="X14" i="4"/>
  <c r="X12" i="4"/>
  <c r="AB19" i="4"/>
  <c r="F12" i="9"/>
  <c r="AH19" i="4"/>
  <c r="I12" i="9"/>
  <c r="AI19" i="4"/>
  <c r="I14" i="9"/>
  <c r="AM19" i="4"/>
  <c r="K14" i="9"/>
  <c r="X44" i="4"/>
  <c r="X38" i="4"/>
  <c r="X55" i="4"/>
  <c r="X53" i="4"/>
  <c r="X51" i="4"/>
  <c r="X49" i="4"/>
  <c r="X47" i="4"/>
  <c r="L75" i="1"/>
  <c r="L81" i="1"/>
  <c r="L82" i="1"/>
  <c r="AR13" i="4" l="1"/>
  <c r="AR63" i="4"/>
  <c r="AR36" i="4"/>
  <c r="AR42" i="4"/>
  <c r="AR11" i="4"/>
  <c r="AR114" i="4"/>
  <c r="AR103" i="4"/>
  <c r="AR93" i="4"/>
  <c r="AR16" i="4"/>
  <c r="AR108" i="4"/>
  <c r="AR92" i="4"/>
  <c r="AR100" i="4"/>
  <c r="AR70" i="4"/>
  <c r="AR76" i="4"/>
  <c r="AR82" i="4"/>
  <c r="AR57" i="4"/>
  <c r="AR37" i="4"/>
  <c r="AR22" i="4"/>
  <c r="AR26" i="4"/>
  <c r="AR32" i="4"/>
  <c r="AR118" i="4"/>
  <c r="AR105" i="4"/>
  <c r="AR79" i="4"/>
  <c r="AR59" i="4"/>
  <c r="AR54" i="4"/>
  <c r="AR24" i="4"/>
  <c r="AR45" i="4"/>
  <c r="AR25" i="4"/>
  <c r="AR85" i="4"/>
  <c r="AR38" i="4"/>
  <c r="AR40" i="4"/>
  <c r="AR21" i="4"/>
  <c r="AR51" i="4"/>
  <c r="AR29" i="4"/>
  <c r="AR19" i="4"/>
  <c r="AR110" i="4"/>
  <c r="AR89" i="4"/>
  <c r="AR97" i="4"/>
  <c r="AR66" i="4"/>
  <c r="AR104" i="4"/>
  <c r="AR88" i="4"/>
  <c r="AR96" i="4"/>
  <c r="AR68" i="4"/>
  <c r="AR73" i="4"/>
  <c r="AR78" i="4"/>
  <c r="AR60" i="4"/>
  <c r="AR52" i="4"/>
  <c r="AR14" i="4"/>
  <c r="AR64" i="4"/>
  <c r="AR28" i="4"/>
  <c r="AR15" i="4"/>
  <c r="AR116" i="4"/>
  <c r="AR71" i="4"/>
  <c r="AR83" i="4"/>
  <c r="AR46" i="4"/>
  <c r="AR41" i="4"/>
  <c r="AR12" i="4"/>
  <c r="AR53" i="4"/>
  <c r="AR17" i="4"/>
  <c r="AR47" i="4"/>
  <c r="AR55" i="4"/>
  <c r="AR44" i="4"/>
  <c r="AR31" i="4"/>
  <c r="AR117" i="4"/>
  <c r="AR115" i="4"/>
  <c r="AR112" i="4"/>
  <c r="AR87" i="4"/>
  <c r="AR91" i="4"/>
  <c r="AR95" i="4"/>
  <c r="AR99" i="4"/>
  <c r="AR67" i="4"/>
  <c r="AR102" i="4"/>
  <c r="AR106" i="4"/>
  <c r="AR86" i="4"/>
  <c r="AR90" i="4"/>
  <c r="AR94" i="4"/>
  <c r="AR98" i="4"/>
  <c r="AR65" i="4"/>
  <c r="AR69" i="4"/>
  <c r="AR72" i="4"/>
  <c r="AR74" i="4"/>
  <c r="AR77" i="4"/>
  <c r="AR80" i="4"/>
  <c r="AR58" i="4"/>
  <c r="AR62" i="4"/>
  <c r="AR48" i="4"/>
  <c r="AR56" i="4"/>
  <c r="AR39" i="4"/>
  <c r="AR18" i="4"/>
  <c r="AR101" i="4"/>
  <c r="AR34" i="4"/>
  <c r="AR27" i="4"/>
  <c r="AR30" i="4"/>
  <c r="AR33" i="4"/>
  <c r="AR23" i="4"/>
  <c r="AR113" i="4"/>
  <c r="AR111" i="4"/>
  <c r="AR107" i="4"/>
  <c r="AR75" i="4"/>
  <c r="AR81" i="4"/>
  <c r="AR84" i="4"/>
  <c r="AR61" i="4"/>
  <c r="AR50" i="4"/>
  <c r="AR35" i="4"/>
  <c r="AR43" i="4"/>
  <c r="AR20" i="4"/>
  <c r="AR10" i="4"/>
  <c r="L6" i="10"/>
  <c r="K6" i="10"/>
  <c r="J6" i="10"/>
  <c r="I6" i="10"/>
  <c r="H6" i="10"/>
  <c r="G6" i="10"/>
  <c r="F6" i="10"/>
  <c r="E6" i="10"/>
  <c r="D6" i="10"/>
  <c r="C6" i="10"/>
  <c r="I4" i="10"/>
  <c r="E4" i="10"/>
  <c r="D4" i="10"/>
  <c r="C4" i="10"/>
  <c r="E15" i="9" l="1"/>
  <c r="F15" i="9"/>
  <c r="G15" i="9"/>
  <c r="K15" i="9"/>
  <c r="L15" i="9"/>
  <c r="M15" i="9"/>
  <c r="D15" i="9"/>
  <c r="E13" i="9"/>
  <c r="F13" i="9"/>
  <c r="G13" i="9"/>
  <c r="K13" i="9"/>
  <c r="L13" i="9"/>
  <c r="M13" i="9"/>
  <c r="D13" i="9"/>
  <c r="F12" i="7"/>
  <c r="E14" i="7"/>
  <c r="E12" i="7"/>
  <c r="D14" i="7"/>
  <c r="D12" i="7"/>
  <c r="F14" i="7"/>
  <c r="F14" i="5"/>
  <c r="E14" i="5"/>
  <c r="D14" i="5"/>
  <c r="D12" i="5"/>
  <c r="M9" i="2" l="1"/>
  <c r="M10" i="2"/>
  <c r="M11" i="2"/>
  <c r="M12" i="2"/>
  <c r="M13" i="2"/>
  <c r="M14" i="2"/>
  <c r="M15" i="2"/>
  <c r="M16" i="2"/>
  <c r="M17" i="2"/>
  <c r="D15" i="7" s="1"/>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Q9" i="2" l="1"/>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O9" i="2"/>
  <c r="O10" i="2"/>
  <c r="O11" i="2"/>
  <c r="O12" i="2"/>
  <c r="O13" i="2"/>
  <c r="O14" i="2"/>
  <c r="O15" i="2"/>
  <c r="O16" i="2"/>
  <c r="O17" i="2"/>
  <c r="E15" i="7" s="1"/>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Q8" i="2"/>
  <c r="O8"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N9" i="2"/>
  <c r="N10" i="2"/>
  <c r="N11" i="2"/>
  <c r="N12" i="2"/>
  <c r="N13" i="2"/>
  <c r="N14" i="2"/>
  <c r="N15" i="2"/>
  <c r="N16" i="2"/>
  <c r="N17" i="2"/>
  <c r="E13" i="7" s="1"/>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L9" i="2"/>
  <c r="L10" i="2"/>
  <c r="L11" i="2"/>
  <c r="L12" i="2"/>
  <c r="L13" i="2"/>
  <c r="L14" i="2"/>
  <c r="L15" i="2"/>
  <c r="L16" i="2"/>
  <c r="L17" i="2"/>
  <c r="D13" i="7" s="1"/>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P8" i="2"/>
  <c r="N8" i="2"/>
  <c r="L8" i="2"/>
  <c r="I8" i="1" l="1"/>
  <c r="R8" i="1" s="1"/>
  <c r="I9" i="1" l="1"/>
  <c r="R9" i="1" s="1"/>
  <c r="I10" i="1"/>
  <c r="R10" i="1" s="1"/>
  <c r="I11" i="1"/>
  <c r="R11" i="1" s="1"/>
  <c r="I12" i="1"/>
  <c r="R12" i="1" s="1"/>
  <c r="I13" i="1"/>
  <c r="R13" i="1" s="1"/>
  <c r="I14" i="1"/>
  <c r="R14" i="1" s="1"/>
  <c r="I15" i="1"/>
  <c r="R15" i="1" s="1"/>
  <c r="I16" i="1"/>
  <c r="R16" i="1" s="1"/>
  <c r="I17" i="1"/>
  <c r="R17" i="1" s="1"/>
  <c r="I18" i="1"/>
  <c r="R18" i="1" s="1"/>
  <c r="I19" i="1"/>
  <c r="R19" i="1" s="1"/>
  <c r="I20" i="1"/>
  <c r="R20" i="1" s="1"/>
  <c r="I21" i="1"/>
  <c r="R21" i="1" s="1"/>
  <c r="I22" i="1"/>
  <c r="R22" i="1" s="1"/>
  <c r="I23" i="1"/>
  <c r="R23" i="1" s="1"/>
  <c r="I24" i="1"/>
  <c r="R24" i="1" s="1"/>
  <c r="I25" i="1"/>
  <c r="R25" i="1" s="1"/>
  <c r="I26" i="1"/>
  <c r="R26" i="1" s="1"/>
  <c r="I27" i="1"/>
  <c r="R27" i="1" s="1"/>
  <c r="I28" i="1"/>
  <c r="R28" i="1" s="1"/>
  <c r="I29" i="1"/>
  <c r="R29" i="1" s="1"/>
  <c r="I30" i="1"/>
  <c r="R30" i="1" s="1"/>
  <c r="I31" i="1"/>
  <c r="R31" i="1" s="1"/>
  <c r="I32" i="1"/>
  <c r="R32" i="1" s="1"/>
  <c r="I33" i="1"/>
  <c r="R33" i="1" s="1"/>
  <c r="I34" i="1"/>
  <c r="R34" i="1" s="1"/>
  <c r="I35" i="1"/>
  <c r="R35" i="1" s="1"/>
  <c r="I36" i="1"/>
  <c r="R36" i="1" s="1"/>
  <c r="I37" i="1"/>
  <c r="R37" i="1" s="1"/>
  <c r="I38" i="1"/>
  <c r="R38" i="1" s="1"/>
  <c r="I39" i="1"/>
  <c r="R39" i="1" s="1"/>
  <c r="I40" i="1"/>
  <c r="R40" i="1" s="1"/>
  <c r="I41" i="1"/>
  <c r="R41" i="1" s="1"/>
  <c r="I42" i="1"/>
  <c r="R42" i="1" s="1"/>
  <c r="I43" i="1"/>
  <c r="R43" i="1" s="1"/>
  <c r="I44" i="1"/>
  <c r="R44" i="1" s="1"/>
  <c r="I45" i="1"/>
  <c r="R45" i="1" s="1"/>
  <c r="I46" i="1"/>
  <c r="R46" i="1" s="1"/>
  <c r="I47" i="1"/>
  <c r="R47" i="1" s="1"/>
  <c r="I48" i="1"/>
  <c r="R48" i="1" s="1"/>
  <c r="I49" i="1"/>
  <c r="R49" i="1" s="1"/>
  <c r="I50" i="1"/>
  <c r="R50" i="1" s="1"/>
  <c r="I51" i="1"/>
  <c r="R51" i="1" s="1"/>
  <c r="I52" i="1"/>
  <c r="R52" i="1" s="1"/>
  <c r="I53" i="1"/>
  <c r="R53" i="1" s="1"/>
  <c r="I54" i="1"/>
  <c r="R54" i="1" s="1"/>
  <c r="I55" i="1"/>
  <c r="R55" i="1" s="1"/>
  <c r="I56" i="1"/>
  <c r="R56" i="1" s="1"/>
  <c r="I57" i="1"/>
  <c r="R57" i="1" s="1"/>
  <c r="I58" i="1"/>
  <c r="R58" i="1" s="1"/>
  <c r="I59" i="1"/>
  <c r="R59" i="1" s="1"/>
  <c r="I60" i="1"/>
  <c r="R60" i="1" s="1"/>
  <c r="I61" i="1"/>
  <c r="R61" i="1" s="1"/>
  <c r="I62" i="1"/>
  <c r="R62" i="1" s="1"/>
  <c r="I63" i="1"/>
  <c r="R63" i="1" s="1"/>
  <c r="I64" i="1"/>
  <c r="R64" i="1" s="1"/>
  <c r="I65" i="1"/>
  <c r="R65" i="1" s="1"/>
  <c r="I66" i="1"/>
  <c r="R66" i="1" s="1"/>
  <c r="I67" i="1"/>
  <c r="R67" i="1" s="1"/>
  <c r="I68" i="1"/>
  <c r="R68" i="1" s="1"/>
  <c r="I69" i="1"/>
  <c r="R69" i="1" s="1"/>
  <c r="I70" i="1"/>
  <c r="R70" i="1" s="1"/>
  <c r="I71" i="1"/>
  <c r="R71" i="1" s="1"/>
  <c r="I72" i="1"/>
  <c r="R72" i="1" s="1"/>
  <c r="I73" i="1"/>
  <c r="R73" i="1" s="1"/>
  <c r="I74" i="1"/>
  <c r="R74" i="1" s="1"/>
  <c r="I75" i="1"/>
  <c r="R75" i="1" s="1"/>
  <c r="I76" i="1"/>
  <c r="R76" i="1" s="1"/>
  <c r="I77" i="1"/>
  <c r="R77" i="1" s="1"/>
  <c r="I78" i="1"/>
  <c r="R78" i="1" s="1"/>
  <c r="I79" i="1"/>
  <c r="R79" i="1" s="1"/>
  <c r="I80" i="1"/>
  <c r="R80" i="1" s="1"/>
  <c r="I81" i="1"/>
  <c r="R81" i="1" s="1"/>
  <c r="I82" i="1"/>
  <c r="R82" i="1" s="1"/>
  <c r="I83" i="1"/>
  <c r="R83" i="1" s="1"/>
  <c r="I84" i="1"/>
  <c r="R84" i="1" s="1"/>
  <c r="I85" i="1"/>
  <c r="R85" i="1" s="1"/>
  <c r="I86" i="1"/>
  <c r="R86" i="1" s="1"/>
  <c r="I87" i="1"/>
  <c r="R87" i="1" s="1"/>
  <c r="I88" i="1"/>
  <c r="R88" i="1" s="1"/>
  <c r="I89" i="1"/>
  <c r="R89" i="1" s="1"/>
  <c r="I90" i="1"/>
  <c r="R90" i="1" s="1"/>
  <c r="I91" i="1"/>
  <c r="R91" i="1" s="1"/>
  <c r="I92" i="1"/>
  <c r="R92" i="1" s="1"/>
  <c r="I93" i="1"/>
  <c r="R93" i="1" s="1"/>
  <c r="I94" i="1"/>
  <c r="R94" i="1" s="1"/>
  <c r="I95" i="1"/>
  <c r="R95" i="1" s="1"/>
  <c r="I96" i="1"/>
  <c r="R96" i="1" s="1"/>
  <c r="I97" i="1"/>
  <c r="R97" i="1" s="1"/>
  <c r="I98" i="1"/>
  <c r="R98" i="1" s="1"/>
  <c r="I99" i="1"/>
  <c r="R99" i="1" s="1"/>
  <c r="I100" i="1"/>
  <c r="R100" i="1" s="1"/>
  <c r="I101" i="1"/>
  <c r="R101" i="1" s="1"/>
  <c r="I102" i="1"/>
  <c r="R102" i="1" s="1"/>
  <c r="I103" i="1"/>
  <c r="R103" i="1" s="1"/>
  <c r="I104" i="1"/>
  <c r="R104" i="1" s="1"/>
  <c r="I105" i="1"/>
  <c r="R105" i="1" s="1"/>
  <c r="I106" i="1"/>
  <c r="R106" i="1" s="1"/>
  <c r="I107" i="1"/>
  <c r="R107" i="1" s="1"/>
  <c r="I108" i="1"/>
  <c r="R108" i="1" s="1"/>
  <c r="I109" i="1"/>
  <c r="R109" i="1" s="1"/>
  <c r="I110" i="1"/>
  <c r="R110" i="1" s="1"/>
  <c r="I111" i="1"/>
  <c r="R111" i="1" s="1"/>
  <c r="I112" i="1"/>
  <c r="R112" i="1" s="1"/>
  <c r="I113" i="1"/>
  <c r="R113" i="1" s="1"/>
  <c r="I114" i="1"/>
  <c r="R114" i="1" s="1"/>
  <c r="I115" i="1"/>
  <c r="R115" i="1" s="1"/>
  <c r="I116" i="1"/>
  <c r="R116" i="1" s="1"/>
  <c r="T8" i="1" l="1"/>
  <c r="T62" i="1"/>
  <c r="T90" i="1"/>
  <c r="T97" i="1"/>
  <c r="S63" i="1"/>
  <c r="S23" i="1"/>
  <c r="S111" i="1"/>
  <c r="S47" i="1"/>
  <c r="S95" i="1"/>
  <c r="S31" i="1"/>
  <c r="S79" i="1"/>
  <c r="S15" i="1"/>
  <c r="S91" i="1"/>
  <c r="S43" i="1"/>
  <c r="S11" i="1"/>
  <c r="S87" i="1"/>
  <c r="S71" i="1"/>
  <c r="S55" i="1"/>
  <c r="S39"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0" i="1"/>
  <c r="S14" i="1"/>
  <c r="S22" i="1"/>
  <c r="S30" i="1"/>
  <c r="S34" i="1"/>
  <c r="S42" i="1"/>
  <c r="S50" i="1"/>
  <c r="S54" i="1"/>
  <c r="S62" i="1"/>
  <c r="S70" i="1"/>
  <c r="S78" i="1"/>
  <c r="S86" i="1"/>
  <c r="S94" i="1"/>
  <c r="S98" i="1"/>
  <c r="S106" i="1"/>
  <c r="S114"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8" i="1"/>
  <c r="S18" i="1"/>
  <c r="S26" i="1"/>
  <c r="S38" i="1"/>
  <c r="S46" i="1"/>
  <c r="S58" i="1"/>
  <c r="S66" i="1"/>
  <c r="S74" i="1"/>
  <c r="S82" i="1"/>
  <c r="S90" i="1"/>
  <c r="S102" i="1"/>
  <c r="S110" i="1"/>
  <c r="S107" i="1"/>
  <c r="S75" i="1"/>
  <c r="S59" i="1"/>
  <c r="S27" i="1"/>
  <c r="S103" i="1"/>
  <c r="S115" i="1"/>
  <c r="S99" i="1"/>
  <c r="S83" i="1"/>
  <c r="S67" i="1"/>
  <c r="S51" i="1"/>
  <c r="S35" i="1"/>
  <c r="S19" i="1"/>
  <c r="Q9" i="1"/>
  <c r="Q10" i="1"/>
  <c r="Q11" i="1"/>
  <c r="Q12" i="1"/>
  <c r="Q13" i="1"/>
  <c r="Q14" i="1"/>
  <c r="Q15" i="1"/>
  <c r="Q16" i="1"/>
  <c r="Q17" i="1"/>
  <c r="D15" i="5" s="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8" i="1"/>
  <c r="P9" i="1"/>
  <c r="P10" i="1"/>
  <c r="P11" i="1"/>
  <c r="P12" i="1"/>
  <c r="P13" i="1"/>
  <c r="P14" i="1"/>
  <c r="P15" i="1"/>
  <c r="P16" i="1"/>
  <c r="P17" i="1"/>
  <c r="D13" i="5" s="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8" i="1"/>
  <c r="O11" i="1"/>
  <c r="O13" i="1"/>
  <c r="O15" i="1"/>
  <c r="O19" i="1"/>
  <c r="O21" i="1"/>
  <c r="O31" i="1"/>
  <c r="O36" i="1"/>
  <c r="O40" i="1"/>
  <c r="O41" i="1"/>
  <c r="O45" i="1"/>
  <c r="O47" i="1"/>
  <c r="O48" i="1"/>
  <c r="O49" i="1"/>
  <c r="O50" i="1"/>
  <c r="O51" i="1"/>
  <c r="O53" i="1"/>
  <c r="O54" i="1"/>
  <c r="O55" i="1"/>
  <c r="O56" i="1"/>
  <c r="O57" i="1"/>
  <c r="O59" i="1"/>
  <c r="O75" i="1"/>
  <c r="O81" i="1"/>
  <c r="O82" i="1"/>
  <c r="O84" i="1"/>
  <c r="O85" i="1"/>
  <c r="O87" i="1"/>
  <c r="O88" i="1"/>
  <c r="O89" i="1"/>
  <c r="O94" i="1"/>
  <c r="O96" i="1"/>
  <c r="O98" i="1"/>
  <c r="O101" i="1"/>
  <c r="O104" i="1"/>
  <c r="O106" i="1"/>
  <c r="O109" i="1"/>
  <c r="O110" i="1"/>
  <c r="O112" i="1"/>
  <c r="O115" i="1"/>
  <c r="N11" i="1"/>
  <c r="N13" i="1"/>
  <c r="N15" i="1"/>
  <c r="N19" i="1"/>
  <c r="N21" i="1"/>
  <c r="N31" i="1"/>
  <c r="N36" i="1"/>
  <c r="N40" i="1"/>
  <c r="N41" i="1"/>
  <c r="N45" i="1"/>
  <c r="N48" i="1"/>
  <c r="N49" i="1"/>
  <c r="N50" i="1"/>
  <c r="N51" i="1"/>
  <c r="N53" i="1"/>
  <c r="N54" i="1"/>
  <c r="N55" i="1"/>
  <c r="N56" i="1"/>
  <c r="N57" i="1"/>
  <c r="N59" i="1"/>
  <c r="N75" i="1"/>
  <c r="N81" i="1"/>
  <c r="N82" i="1"/>
  <c r="N84" i="1"/>
  <c r="N85" i="1"/>
  <c r="N87" i="1"/>
  <c r="N88" i="1"/>
  <c r="N89" i="1"/>
  <c r="N94" i="1"/>
  <c r="N96" i="1"/>
  <c r="N98" i="1"/>
  <c r="N101" i="1"/>
  <c r="N104" i="1"/>
  <c r="N106" i="1"/>
  <c r="N109" i="1"/>
  <c r="N110" i="1"/>
  <c r="N112" i="1"/>
  <c r="N115" i="1"/>
  <c r="M11" i="1"/>
  <c r="M13" i="1"/>
  <c r="M15" i="1"/>
  <c r="M19" i="1"/>
  <c r="M21" i="1"/>
  <c r="M31" i="1"/>
  <c r="M36" i="1"/>
  <c r="M40" i="1"/>
  <c r="M41" i="1"/>
  <c r="M45" i="1"/>
  <c r="M48" i="1"/>
  <c r="M49" i="1"/>
  <c r="M50" i="1"/>
  <c r="M51" i="1"/>
  <c r="M53" i="1"/>
  <c r="M54" i="1"/>
  <c r="M55" i="1"/>
  <c r="M56" i="1"/>
  <c r="M57" i="1"/>
  <c r="M59" i="1"/>
  <c r="M75" i="1"/>
  <c r="M81" i="1"/>
  <c r="M82" i="1"/>
  <c r="M84" i="1"/>
  <c r="M85" i="1"/>
  <c r="M87" i="1"/>
  <c r="M88" i="1"/>
  <c r="M89" i="1"/>
  <c r="M94" i="1"/>
  <c r="M96" i="1"/>
  <c r="M98" i="1"/>
  <c r="M101" i="1"/>
  <c r="M104" i="1"/>
  <c r="M106" i="1"/>
  <c r="M109" i="1"/>
  <c r="M110" i="1"/>
  <c r="M112" i="1"/>
  <c r="M115" i="1"/>
  <c r="L11" i="1"/>
  <c r="L13" i="1"/>
  <c r="L15" i="1"/>
  <c r="L19" i="1"/>
  <c r="L21" i="1"/>
  <c r="L31" i="1"/>
  <c r="L36" i="1"/>
  <c r="L40" i="1"/>
  <c r="L41" i="1"/>
  <c r="L45" i="1"/>
  <c r="L48" i="1"/>
  <c r="L49" i="1"/>
  <c r="L50" i="1"/>
  <c r="L51" i="1"/>
  <c r="L53" i="1"/>
  <c r="L54" i="1"/>
  <c r="L55" i="1"/>
  <c r="L56" i="1"/>
  <c r="L57" i="1"/>
  <c r="L59" i="1"/>
  <c r="L84" i="1"/>
  <c r="L85" i="1"/>
  <c r="L87" i="1"/>
  <c r="L88" i="1"/>
  <c r="L89" i="1"/>
  <c r="L94" i="1"/>
  <c r="L96" i="1"/>
  <c r="L98" i="1"/>
  <c r="L101" i="1"/>
  <c r="L104" i="1"/>
  <c r="L106" i="1"/>
  <c r="L109" i="1"/>
  <c r="L110" i="1"/>
  <c r="L112" i="1"/>
  <c r="L115" i="1"/>
  <c r="T21" i="1" l="1"/>
  <c r="T28" i="1"/>
  <c r="T36" i="1"/>
  <c r="T64" i="1"/>
  <c r="T63" i="1"/>
  <c r="T94" i="1"/>
  <c r="T46" i="1"/>
  <c r="T67" i="1"/>
  <c r="T65" i="1"/>
  <c r="T49" i="1"/>
  <c r="T88" i="1"/>
  <c r="T84" i="1"/>
  <c r="T20" i="1"/>
  <c r="T104" i="1"/>
  <c r="T112" i="1"/>
  <c r="T48" i="1"/>
  <c r="T11" i="1"/>
  <c r="T87" i="1"/>
  <c r="T55" i="1"/>
  <c r="T31" i="1"/>
  <c r="T106" i="1"/>
  <c r="T74" i="1"/>
  <c r="T58" i="1"/>
  <c r="T42" i="1"/>
  <c r="T26" i="1"/>
  <c r="T10" i="1"/>
  <c r="T91" i="1"/>
  <c r="T59" i="1"/>
  <c r="T23" i="1"/>
  <c r="T109" i="1"/>
  <c r="T93" i="1"/>
  <c r="T77" i="1"/>
  <c r="T61" i="1"/>
  <c r="T45" i="1"/>
  <c r="T29" i="1"/>
  <c r="T13" i="1"/>
  <c r="T100" i="1"/>
  <c r="T24" i="1"/>
  <c r="T99" i="1"/>
  <c r="T110" i="1"/>
  <c r="T14" i="1"/>
  <c r="T27" i="1"/>
  <c r="T17" i="1"/>
  <c r="T68" i="1"/>
  <c r="T72" i="1"/>
  <c r="T96" i="1"/>
  <c r="T32" i="1"/>
  <c r="T115" i="1"/>
  <c r="T79" i="1"/>
  <c r="T51" i="1"/>
  <c r="T19" i="1"/>
  <c r="T102" i="1"/>
  <c r="T86" i="1"/>
  <c r="T70" i="1"/>
  <c r="T54" i="1"/>
  <c r="T38" i="1"/>
  <c r="T22" i="1"/>
  <c r="T111" i="1"/>
  <c r="T83" i="1"/>
  <c r="T43" i="1"/>
  <c r="T15" i="1"/>
  <c r="T105" i="1"/>
  <c r="T89" i="1"/>
  <c r="T73" i="1"/>
  <c r="T57" i="1"/>
  <c r="T41" i="1"/>
  <c r="T25" i="1"/>
  <c r="T9" i="1"/>
  <c r="T44" i="1"/>
  <c r="T12" i="1"/>
  <c r="T39" i="1"/>
  <c r="T78" i="1"/>
  <c r="T30" i="1"/>
  <c r="T95" i="1"/>
  <c r="T113" i="1"/>
  <c r="T81" i="1"/>
  <c r="T33" i="1"/>
  <c r="T92" i="1"/>
  <c r="T40" i="1"/>
  <c r="T108" i="1"/>
  <c r="T60" i="1"/>
  <c r="T116" i="1"/>
  <c r="T52" i="1"/>
  <c r="T76" i="1"/>
  <c r="T56" i="1"/>
  <c r="T80" i="1"/>
  <c r="T16" i="1"/>
  <c r="T107" i="1"/>
  <c r="T71" i="1"/>
  <c r="T47" i="1"/>
  <c r="T114" i="1"/>
  <c r="T98" i="1"/>
  <c r="T82" i="1"/>
  <c r="T66" i="1"/>
  <c r="T50" i="1"/>
  <c r="T34" i="1"/>
  <c r="T18" i="1"/>
  <c r="T103" i="1"/>
  <c r="T75" i="1"/>
  <c r="T35" i="1"/>
  <c r="T101" i="1"/>
  <c r="T85" i="1"/>
  <c r="T69" i="1"/>
  <c r="T53" i="1"/>
  <c r="T37" i="1"/>
</calcChain>
</file>

<file path=xl/sharedStrings.xml><?xml version="1.0" encoding="utf-8"?>
<sst xmlns="http://schemas.openxmlformats.org/spreadsheetml/2006/main" count="3414" uniqueCount="360">
  <si>
    <t>Moderate</t>
  </si>
  <si>
    <t>High</t>
  </si>
  <si>
    <t>Very High</t>
  </si>
  <si>
    <t>Total</t>
  </si>
  <si>
    <t>Moderate %</t>
  </si>
  <si>
    <t>High %</t>
  </si>
  <si>
    <t>Very High %</t>
  </si>
  <si>
    <t>Total %</t>
  </si>
  <si>
    <t>Rank by Value</t>
  </si>
  <si>
    <t>Rank by Percent</t>
  </si>
  <si>
    <t>County</t>
  </si>
  <si>
    <t>Jurisdiction</t>
  </si>
  <si>
    <t>SF</t>
  </si>
  <si>
    <t>MF</t>
  </si>
  <si>
    <t>Total VHFZ Parcels</t>
  </si>
  <si>
    <t>County Confidence</t>
  </si>
  <si>
    <t>Alameda</t>
  </si>
  <si>
    <t>Albany</t>
  </si>
  <si>
    <t>Berkeley</t>
  </si>
  <si>
    <t>Dublin</t>
  </si>
  <si>
    <t>Emeryville</t>
  </si>
  <si>
    <t>Fremont</t>
  </si>
  <si>
    <t>Livermore</t>
  </si>
  <si>
    <t>Newark</t>
  </si>
  <si>
    <t>Oakland</t>
  </si>
  <si>
    <t>Piedmont</t>
  </si>
  <si>
    <t>Pleasanton</t>
  </si>
  <si>
    <t>San Leandro</t>
  </si>
  <si>
    <t>Unincorporated Alameda</t>
  </si>
  <si>
    <t>Union City</t>
  </si>
  <si>
    <t>Contra Costa</t>
  </si>
  <si>
    <t>Antioch</t>
  </si>
  <si>
    <t>Brentwood</t>
  </si>
  <si>
    <t>Clayton</t>
  </si>
  <si>
    <t>Concord</t>
  </si>
  <si>
    <t>Danville</t>
  </si>
  <si>
    <t>El Cerrito</t>
  </si>
  <si>
    <t>Hercules</t>
  </si>
  <si>
    <t>Lafayette</t>
  </si>
  <si>
    <t>Martinez</t>
  </si>
  <si>
    <t>Moraga</t>
  </si>
  <si>
    <t>Oakley</t>
  </si>
  <si>
    <t>Orinda</t>
  </si>
  <si>
    <t>Pinole</t>
  </si>
  <si>
    <t>Pittsburg</t>
  </si>
  <si>
    <t>Pleasant Hill</t>
  </si>
  <si>
    <t>Richmond</t>
  </si>
  <si>
    <t>San Pablo</t>
  </si>
  <si>
    <t>San Ramon</t>
  </si>
  <si>
    <t>Unincorporated Contra Costa</t>
  </si>
  <si>
    <t>Walnut Creek</t>
  </si>
  <si>
    <t>Marin</t>
  </si>
  <si>
    <t>Belvedere</t>
  </si>
  <si>
    <t>Corte Madera</t>
  </si>
  <si>
    <t>Fairfax</t>
  </si>
  <si>
    <t>Larkspur</t>
  </si>
  <si>
    <t>Mill Valley</t>
  </si>
  <si>
    <t>Novato</t>
  </si>
  <si>
    <t>Ross</t>
  </si>
  <si>
    <t>San Anselmo</t>
  </si>
  <si>
    <t>San Rafael</t>
  </si>
  <si>
    <t>Sausalito</t>
  </si>
  <si>
    <t>Tiburon</t>
  </si>
  <si>
    <t>Unincorporated Marin</t>
  </si>
  <si>
    <t>Napa</t>
  </si>
  <si>
    <t>American Canyon</t>
  </si>
  <si>
    <t>Unincorporated Napa</t>
  </si>
  <si>
    <t>Yountville</t>
  </si>
  <si>
    <t>San Francisco</t>
  </si>
  <si>
    <t>San Mateo</t>
  </si>
  <si>
    <t>Atherton</t>
  </si>
  <si>
    <t>Belmont</t>
  </si>
  <si>
    <t>Brisbane</t>
  </si>
  <si>
    <t>Colma</t>
  </si>
  <si>
    <t>Daly City</t>
  </si>
  <si>
    <t>East Palo Alto</t>
  </si>
  <si>
    <t>Foster City</t>
  </si>
  <si>
    <t>Hillsborough</t>
  </si>
  <si>
    <t>Menlo Park</t>
  </si>
  <si>
    <t>Millbrae</t>
  </si>
  <si>
    <t>Portola Valley</t>
  </si>
  <si>
    <t>Redwood City</t>
  </si>
  <si>
    <t>San Bruno</t>
  </si>
  <si>
    <t>San Carlos</t>
  </si>
  <si>
    <t>South San Francisco</t>
  </si>
  <si>
    <t>Unincorporated San Mateo</t>
  </si>
  <si>
    <t>Woodside</t>
  </si>
  <si>
    <t>Santa Clara</t>
  </si>
  <si>
    <t>Campbell</t>
  </si>
  <si>
    <t>Cupertino</t>
  </si>
  <si>
    <t>Gilroy</t>
  </si>
  <si>
    <t>Los Altos</t>
  </si>
  <si>
    <t>Los Altos Hills</t>
  </si>
  <si>
    <t>Los Gatos</t>
  </si>
  <si>
    <t>Milpitas</t>
  </si>
  <si>
    <t>Monte Sereno</t>
  </si>
  <si>
    <t>Morgan Hill</t>
  </si>
  <si>
    <t>Mountain View</t>
  </si>
  <si>
    <t>Palo Alto</t>
  </si>
  <si>
    <t>San Jose</t>
  </si>
  <si>
    <t>Saratoga</t>
  </si>
  <si>
    <t>Sunnyvale</t>
  </si>
  <si>
    <t>Unincorporated Santa Clara</t>
  </si>
  <si>
    <t>Solano</t>
  </si>
  <si>
    <t>Benicia</t>
  </si>
  <si>
    <t>Dixon</t>
  </si>
  <si>
    <t>Fairfield</t>
  </si>
  <si>
    <t>Rio Vista</t>
  </si>
  <si>
    <t>Suisun City</t>
  </si>
  <si>
    <t>Unincorporated Solano</t>
  </si>
  <si>
    <t>Vacaville</t>
  </si>
  <si>
    <t>Vallejo</t>
  </si>
  <si>
    <t>Sonoma</t>
  </si>
  <si>
    <t>Cotati</t>
  </si>
  <si>
    <t>Healdsburg</t>
  </si>
  <si>
    <t>Petaluma</t>
  </si>
  <si>
    <t>Rohnert Park</t>
  </si>
  <si>
    <t>Santa Rosa</t>
  </si>
  <si>
    <t>Sebastopol</t>
  </si>
  <si>
    <t>Unincorporated Sonoma</t>
  </si>
  <si>
    <t>Windsor</t>
  </si>
  <si>
    <t>100 Year Floodplain</t>
  </si>
  <si>
    <t>500 Year Floodplain</t>
  </si>
  <si>
    <t>Levee Protected</t>
  </si>
  <si>
    <t>100 Year Floodplain %</t>
  </si>
  <si>
    <t>500 Year Floodplain %</t>
  </si>
  <si>
    <t>Levee Protected %</t>
  </si>
  <si>
    <t>City</t>
  </si>
  <si>
    <t>Hayward</t>
  </si>
  <si>
    <t>Calistoga</t>
  </si>
  <si>
    <t>St Helena</t>
  </si>
  <si>
    <t>NA</t>
  </si>
  <si>
    <t>Burlingame</t>
  </si>
  <si>
    <t>Half Moon Bay</t>
  </si>
  <si>
    <t>Pacifica</t>
  </si>
  <si>
    <t>Cloverdale</t>
  </si>
  <si>
    <t>NOAA</t>
  </si>
  <si>
    <t>1ft</t>
  </si>
  <si>
    <t>2ft</t>
  </si>
  <si>
    <t>3ft</t>
  </si>
  <si>
    <t>4ft</t>
  </si>
  <si>
    <t>5ft</t>
  </si>
  <si>
    <t>6ft</t>
  </si>
  <si>
    <t>7ft</t>
  </si>
  <si>
    <t>8ft</t>
  </si>
  <si>
    <t>9ft</t>
  </si>
  <si>
    <t>10ft</t>
  </si>
  <si>
    <t>Only run NOAA for: Sonoma, Marin, SF, San Mateo</t>
  </si>
  <si>
    <t>ART ECC</t>
  </si>
  <si>
    <t>Run ART for: All</t>
  </si>
  <si>
    <t>Run ECC for: ECC</t>
  </si>
  <si>
    <t>ART</t>
  </si>
  <si>
    <t xml:space="preserve">Rule: If ART, use ART. </t>
  </si>
  <si>
    <t>1 Foot</t>
  </si>
  <si>
    <t>2 Feet</t>
  </si>
  <si>
    <t>3 Feet</t>
  </si>
  <si>
    <t>4 Feet</t>
  </si>
  <si>
    <t>5 Feet/5.5</t>
  </si>
  <si>
    <t>6 Feet/6.4</t>
  </si>
  <si>
    <t>7 Feet/6.9</t>
  </si>
  <si>
    <t>8 Feet</t>
  </si>
  <si>
    <t>9 Feet</t>
  </si>
  <si>
    <t>10 Feet</t>
  </si>
  <si>
    <t>Detail</t>
  </si>
  <si>
    <t>Single Family</t>
  </si>
  <si>
    <t>Multifamily</t>
  </si>
  <si>
    <t>Oakland Residential Parcel Fire Hazard Severity Exposure</t>
  </si>
  <si>
    <r>
      <t xml:space="preserve">Data: </t>
    </r>
    <r>
      <rPr>
        <sz val="8"/>
        <color theme="1"/>
        <rFont val="Calibri"/>
        <family val="2"/>
        <scheme val="minor"/>
      </rPr>
      <t>CalFIRE (2009); ParcelAtlas (2020)</t>
    </r>
  </si>
  <si>
    <r>
      <t>Note:</t>
    </r>
    <r>
      <rPr>
        <sz val="8"/>
        <color theme="1"/>
        <rFont val="Calibri"/>
        <family val="2"/>
        <scheme val="minor"/>
      </rPr>
      <t xml:space="preserve"> The data for this analysis stems from an aggregated regional source of local property valuation data. As such, there are variations in how residential parcels may be categorized among jurisdictions, including particularities with townhomes, condominiums, and duplexes, among others. As a result, single family and multifamily parcel values shown here may differ from other known data. For </t>
    </r>
    <r>
      <rPr>
        <b/>
        <sz val="8"/>
        <color theme="1"/>
        <rFont val="Calibri"/>
        <family val="2"/>
        <scheme val="minor"/>
      </rPr>
      <t>Alameda County,</t>
    </r>
    <r>
      <rPr>
        <sz val="8"/>
        <color theme="1"/>
        <rFont val="Calibri"/>
        <family val="2"/>
        <scheme val="minor"/>
      </rPr>
      <t xml:space="preserve"> we have </t>
    </r>
    <r>
      <rPr>
        <b/>
        <sz val="8"/>
        <color theme="1"/>
        <rFont val="Calibri"/>
        <family val="2"/>
        <scheme val="minor"/>
      </rPr>
      <t xml:space="preserve">low </t>
    </r>
    <r>
      <rPr>
        <sz val="8"/>
        <color theme="1"/>
        <rFont val="Calibri"/>
        <family val="2"/>
        <scheme val="minor"/>
      </rPr>
      <t xml:space="preserve">confidence in the accuracy of this data, noting that residential parcel data in </t>
    </r>
    <r>
      <rPr>
        <b/>
        <sz val="8"/>
        <color theme="1"/>
        <rFont val="Calibri"/>
        <family val="2"/>
        <scheme val="minor"/>
      </rPr>
      <t>Oakland</t>
    </r>
    <r>
      <rPr>
        <sz val="8"/>
        <color theme="1"/>
        <rFont val="Calibri"/>
        <family val="2"/>
        <scheme val="minor"/>
      </rPr>
      <t xml:space="preserve"> is likely </t>
    </r>
    <r>
      <rPr>
        <b/>
        <sz val="8"/>
        <color theme="1"/>
        <rFont val="Calibri"/>
        <family val="2"/>
        <scheme val="minor"/>
      </rPr>
      <t>under</t>
    </r>
    <r>
      <rPr>
        <sz val="8"/>
        <color theme="1"/>
        <rFont val="Calibri"/>
        <family val="2"/>
        <scheme val="minor"/>
      </rPr>
      <t>valued.</t>
    </r>
  </si>
  <si>
    <t>Oakland Residential Parcel FEMA Flood Exposure</t>
  </si>
  <si>
    <t>Levee-Protected</t>
  </si>
  <si>
    <r>
      <t xml:space="preserve">Data: </t>
    </r>
    <r>
      <rPr>
        <sz val="8"/>
        <color theme="1"/>
        <rFont val="Calibri"/>
        <family val="2"/>
        <scheme val="minor"/>
      </rPr>
      <t>FEMA (2019); ParcelAtlas (2020)</t>
    </r>
  </si>
  <si>
    <t>Oakland Residential Parcel Sea Level Rise Exposure</t>
  </si>
  <si>
    <r>
      <t xml:space="preserve">Data: </t>
    </r>
    <r>
      <rPr>
        <sz val="8"/>
        <color theme="1"/>
        <rFont val="Calibri"/>
        <family val="2"/>
        <scheme val="minor"/>
      </rPr>
      <t>BCDC (2016-2019); NOAA (2020); ParcelAtlas (2020)</t>
    </r>
  </si>
  <si>
    <t>83 in</t>
  </si>
  <si>
    <t>5 Feet</t>
  </si>
  <si>
    <t>6 Feet</t>
  </si>
  <si>
    <t>7 Feet</t>
  </si>
  <si>
    <t>SLR</t>
  </si>
  <si>
    <t>BCDC 96</t>
  </si>
  <si>
    <t>BCDC 108</t>
  </si>
  <si>
    <t>Border Cities</t>
  </si>
  <si>
    <t>Source Dataset</t>
  </si>
  <si>
    <t>Base</t>
  </si>
  <si>
    <t>Fire</t>
  </si>
  <si>
    <t>FEMA</t>
  </si>
  <si>
    <t>100 Year</t>
  </si>
  <si>
    <t>500 Year</t>
  </si>
  <si>
    <t>Appropriate County</t>
  </si>
  <si>
    <t>The following values are residential parcels that show up in the wrong county, due to being on the barrier between counties. This is a fluke of the jurisdiction dataset. The values below show the amount in the base parcel file, and then how many show up in each hazard. These values are NOT included in the data tables.</t>
  </si>
  <si>
    <t>NOAA (West Coast)</t>
  </si>
  <si>
    <t xml:space="preserve">Values Available from Each Layer: </t>
  </si>
  <si>
    <t>BCDC (Bay)</t>
  </si>
  <si>
    <t>ECC (East Contra Costa, Delta)</t>
  </si>
  <si>
    <t>Total Units</t>
  </si>
  <si>
    <t>Total Percentage</t>
  </si>
  <si>
    <t>Total in FEMA Flood Zone</t>
  </si>
  <si>
    <t>Total % in FEMA Flood Zone</t>
  </si>
  <si>
    <t>5 Feet / 5.5 Feet*</t>
  </si>
  <si>
    <t>6 Feet / 6.4 Feet*</t>
  </si>
  <si>
    <t>7 Feet / 6.9 Feet*</t>
  </si>
  <si>
    <r>
      <rPr>
        <b/>
        <sz val="8"/>
        <color theme="1"/>
        <rFont val="Calibri"/>
        <family val="2"/>
        <scheme val="minor"/>
      </rPr>
      <t>*:</t>
    </r>
    <r>
      <rPr>
        <sz val="8"/>
        <color theme="1"/>
        <rFont val="Calibri"/>
        <family val="2"/>
        <scheme val="minor"/>
      </rPr>
      <t xml:space="preserve"> BCDC inundation layers do not always align with even feet, so starred values are based on the alternative measurements. BCDC layers were prioritized for use whenever possible, due to the quality of analysis specific to the San Francisco Bay. For East Contra Costa County, a limited amount of inundation data is available. Data for 10' of inundation is only available on the coast.</t>
    </r>
  </si>
  <si>
    <t xml:space="preserve">City Total SF </t>
  </si>
  <si>
    <t>City Total Mf</t>
  </si>
  <si>
    <t>Total % VHFZ Parcels</t>
  </si>
  <si>
    <t>100 Year Floodplain SF</t>
  </si>
  <si>
    <t>100 Year Floodplain MF</t>
  </si>
  <si>
    <t>500 Year Floodplain SF</t>
  </si>
  <si>
    <t>500 Year Floodplain MF</t>
  </si>
  <si>
    <t>Levee Protected SF</t>
  </si>
  <si>
    <t>Levee Protected MF</t>
  </si>
  <si>
    <t>100 Year Floodplain % SF</t>
  </si>
  <si>
    <t>100 Year Floodplain % MF</t>
  </si>
  <si>
    <t>500 Year Floodplain % SF</t>
  </si>
  <si>
    <t>500 Year Floodplain % MF</t>
  </si>
  <si>
    <t>Levee Protected % SF</t>
  </si>
  <si>
    <t>Levee Protected % MF</t>
  </si>
  <si>
    <t>1 Foot SF</t>
  </si>
  <si>
    <t>1 Foot MF</t>
  </si>
  <si>
    <t>2 Feet SF</t>
  </si>
  <si>
    <t>2 Feet MF</t>
  </si>
  <si>
    <t>3 Feet SF</t>
  </si>
  <si>
    <t>4 Feet SF</t>
  </si>
  <si>
    <t>4 Feet MF</t>
  </si>
  <si>
    <t>3 Feet MF</t>
  </si>
  <si>
    <t>5 Feet/5.5 SF</t>
  </si>
  <si>
    <t>5 Feet/5.5 MF</t>
  </si>
  <si>
    <t>6 Feet/6.4 MF</t>
  </si>
  <si>
    <t>6 Feet/6.4 SF</t>
  </si>
  <si>
    <t>7 Feet/6.9 SF</t>
  </si>
  <si>
    <t>7 Feet/6.9 MF</t>
  </si>
  <si>
    <t>8 Feet SF</t>
  </si>
  <si>
    <t>8 Feet MF</t>
  </si>
  <si>
    <t>9 Feet SF</t>
  </si>
  <si>
    <t>9 Feet MF</t>
  </si>
  <si>
    <t>10 Feet SF</t>
  </si>
  <si>
    <t>10 Feet MF</t>
  </si>
  <si>
    <t>1 Foot % SF</t>
  </si>
  <si>
    <t>1 Foot % MF</t>
  </si>
  <si>
    <t>2 Feet % SF</t>
  </si>
  <si>
    <t>2 Feet % MF</t>
  </si>
  <si>
    <t>3 Feet % SF</t>
  </si>
  <si>
    <t>3 Feet % MF</t>
  </si>
  <si>
    <t>4 Feet % SF</t>
  </si>
  <si>
    <t>4 Feet % MF</t>
  </si>
  <si>
    <t>5 Feet/5.5 % SF</t>
  </si>
  <si>
    <t>5 Feet/5.5 % MF</t>
  </si>
  <si>
    <t>6 Feet/6.4 % SF</t>
  </si>
  <si>
    <t>6 Feet/6.4 % MF</t>
  </si>
  <si>
    <t>7 Feet/6.9 % SF</t>
  </si>
  <si>
    <t>7 Feet/6.9 % MF</t>
  </si>
  <si>
    <t>8 Feet % SF</t>
  </si>
  <si>
    <t>8 Feet % MF</t>
  </si>
  <si>
    <t>9 Feet % SF</t>
  </si>
  <si>
    <t>9 Feet % MF</t>
  </si>
  <si>
    <t>10 Feet % SF</t>
  </si>
  <si>
    <t>10 Feet % MF</t>
  </si>
  <si>
    <t>Alameda County</t>
  </si>
  <si>
    <t>Contra Costa County</t>
  </si>
  <si>
    <t>Marin County</t>
  </si>
  <si>
    <t>Napa County</t>
  </si>
  <si>
    <t>San Francisco County</t>
  </si>
  <si>
    <t>San Mateo County</t>
  </si>
  <si>
    <t>Santa Clara County</t>
  </si>
  <si>
    <t>Solano County</t>
  </si>
  <si>
    <t>Sonoma County</t>
  </si>
  <si>
    <t>Sea Level Rise</t>
  </si>
  <si>
    <t>FEMA Flood Zones</t>
  </si>
  <si>
    <t>Fire Hazard Severity Zones</t>
  </si>
  <si>
    <t>low</t>
  </si>
  <si>
    <t>high</t>
  </si>
  <si>
    <t>high SF</t>
  </si>
  <si>
    <t>high MF</t>
  </si>
  <si>
    <t>Very high SF</t>
  </si>
  <si>
    <t>Very high MF</t>
  </si>
  <si>
    <t>high % SF</t>
  </si>
  <si>
    <t>high % MF</t>
  </si>
  <si>
    <t>Very high % SF</t>
  </si>
  <si>
    <t>Very high % MF</t>
  </si>
  <si>
    <t>moderate</t>
  </si>
  <si>
    <t>moderate SF</t>
  </si>
  <si>
    <t>moderate MF</t>
  </si>
  <si>
    <t>moderate % SF</t>
  </si>
  <si>
    <t>moderate % MF</t>
  </si>
  <si>
    <t>moderately low</t>
  </si>
  <si>
    <t>accurately</t>
  </si>
  <si>
    <t>under</t>
  </si>
  <si>
    <t>over/under</t>
  </si>
  <si>
    <t>over</t>
  </si>
  <si>
    <t>Total Residential Parcels</t>
  </si>
  <si>
    <t>Percentage</t>
  </si>
  <si>
    <t>Parcel Exposure Count</t>
  </si>
  <si>
    <t>Very High (VHFHZ)</t>
  </si>
  <si>
    <t>Total (SF + MF)</t>
  </si>
  <si>
    <t>Rank</t>
  </si>
  <si>
    <t>All Zones</t>
  </si>
  <si>
    <t>Total (SF+MF)</t>
  </si>
  <si>
    <t>All Zone</t>
  </si>
  <si>
    <t>BCDC ART</t>
  </si>
  <si>
    <t>BCDC ART ECC</t>
  </si>
  <si>
    <t>Parcel Exposure County</t>
  </si>
  <si>
    <t>Categorization of Each Data Source (in feet)</t>
  </si>
  <si>
    <t>*BCDC inundation layers do not always align with even feet, so starred values are based on the alternative measurements. BCDC layers were prioritized for use whenever possible, due to the quality of analysis specific to the San Francisco Bay. For East Contra Costa County, a limited amount of inundation data is available. Data for 10' of inundation is only available on the coast west of the Golden Gate Bridge.</t>
  </si>
  <si>
    <t>Resilience Residential Parcel Exposure Data Tables</t>
  </si>
  <si>
    <t>Residential Parcel Fire Hazard Severity Exposure</t>
  </si>
  <si>
    <t>Residential Parcel FEMA Flood Exposure</t>
  </si>
  <si>
    <r>
      <t xml:space="preserve"> &lt; Enter jurisdiction name in green box. </t>
    </r>
    <r>
      <rPr>
        <i/>
        <sz val="11"/>
        <color theme="1"/>
        <rFont val="Calibri"/>
        <family val="2"/>
        <scheme val="minor"/>
      </rPr>
      <t>The lookup is case sensitive;</t>
    </r>
    <r>
      <rPr>
        <b/>
        <sz val="11"/>
        <color theme="1"/>
        <rFont val="Calibri"/>
        <family val="2"/>
        <scheme val="minor"/>
      </rPr>
      <t xml:space="preserve"> c</t>
    </r>
    <r>
      <rPr>
        <i/>
        <sz val="11"/>
        <color theme="1"/>
        <rFont val="Calibri"/>
        <family val="2"/>
        <scheme val="minor"/>
      </rPr>
      <t>apitalize the first letter</t>
    </r>
    <r>
      <rPr>
        <b/>
        <sz val="11"/>
        <color theme="1"/>
        <rFont val="Calibri"/>
        <family val="2"/>
        <scheme val="minor"/>
      </rPr>
      <t xml:space="preserve">.
</t>
    </r>
    <r>
      <rPr>
        <sz val="11"/>
        <color theme="1"/>
        <rFont val="Calibri"/>
        <family val="2"/>
        <scheme val="minor"/>
      </rPr>
      <t xml:space="preserve">    For more detail on each hazard, please see other sheets.</t>
    </r>
  </si>
  <si>
    <t>High*</t>
  </si>
  <si>
    <t>Moderate*</t>
  </si>
  <si>
    <t>residential parcel data appears to be</t>
  </si>
  <si>
    <t xml:space="preserve"> for additional local review. </t>
  </si>
  <si>
    <t>N/A</t>
  </si>
  <si>
    <t>Data for the City and County of San Francisco is not currently available, as the most recent FEMA floodplain map has not yet been adopted.</t>
  </si>
  <si>
    <t>A jurisdiction can use these tables to better understand how their floodplain risk compares to other communities. The light green columns at left show exposure count by units. The columns at the right show exposure as a percentage. For jurisdiction rank, see the darkest green columns at far right. Values are sorted in alphabetical order by county, then jurisdiction.</t>
  </si>
  <si>
    <t>A jurisdiction can use these tables to better understand how their wildfire risk compares to other communities. The light green columns at left show exposure count by units. The columns at the right show exposure as a percentage. For jurisdiction rank, see the darkest green columns at far right. Values are sorted in alphabetical order by county, then jurisdiction.</t>
  </si>
  <si>
    <t>A jurisdiction can use these tables to better understand how their floodplain risk compares to other communities. The light green columns at left show exposure count by units. The columns at the right show exposure as a percentage. Values are sorted in alphabetical order by county, then jurisdiction.</t>
  </si>
  <si>
    <t>FLAG</t>
  </si>
  <si>
    <t>not flagged</t>
  </si>
  <si>
    <t>flagged</t>
  </si>
  <si>
    <t>Created By</t>
  </si>
  <si>
    <t xml:space="preserve">    For an overview of residential parcel hazard information:</t>
  </si>
  <si>
    <r>
      <t>Disclaimer:</t>
    </r>
    <r>
      <rPr>
        <sz val="12"/>
        <rFont val="Calibri"/>
        <family val="2"/>
        <scheme val="minor"/>
      </rPr>
      <t xml:space="preserve"> The data for this analysis stems from an aggregated regional source of local property valuation data. As such, there are variations in how residential parcels may be categorized among jurisdictions, including particularities with townhomes, condominiums, and duplexes, among others. As a result, single family and multifamily parcel values shown here may differ from other known data. </t>
    </r>
  </si>
  <si>
    <r>
      <t xml:space="preserve">This analysis can be replicated using GIS software. If your data is </t>
    </r>
    <r>
      <rPr>
        <b/>
        <sz val="10"/>
        <rFont val="Calibri"/>
        <family val="2"/>
        <scheme val="minor"/>
      </rPr>
      <t>over-</t>
    </r>
    <r>
      <rPr>
        <sz val="10"/>
        <rFont val="Calibri"/>
        <family val="2"/>
        <scheme val="minor"/>
      </rPr>
      <t xml:space="preserve"> or </t>
    </r>
    <r>
      <rPr>
        <b/>
        <sz val="10"/>
        <rFont val="Calibri"/>
        <family val="2"/>
        <scheme val="minor"/>
      </rPr>
      <t>under-valued</t>
    </r>
    <r>
      <rPr>
        <sz val="10"/>
        <rFont val="Calibri"/>
        <family val="2"/>
        <scheme val="minor"/>
      </rPr>
      <t>, you may want analyze housing exposure with your local data. Your community is</t>
    </r>
  </si>
  <si>
    <t>Created June 2021</t>
  </si>
  <si>
    <t xml:space="preserve"> </t>
  </si>
  <si>
    <r>
      <rPr>
        <b/>
        <sz val="11"/>
        <color theme="1"/>
        <rFont val="Calibri"/>
        <family val="2"/>
        <scheme val="minor"/>
      </rPr>
      <t xml:space="preserve">Disclaimer: </t>
    </r>
    <r>
      <rPr>
        <sz val="11"/>
        <color theme="1"/>
        <rFont val="Calibri"/>
        <family val="2"/>
        <scheme val="minor"/>
      </rPr>
      <t xml:space="preserve">The data for this analysis stems from an aggregated regional source of local property valuation data. As such, there are variations in how residential parcels may be categorized among jurisdictions, including particularities with townhomes, condominiums, and duplexes, among others. As a result, single family and multifamily parcel values shown here may differ from other known data. </t>
    </r>
  </si>
  <si>
    <t>Rachael Hartofelis</t>
  </si>
  <si>
    <t>rhartofelis@bayareametro.gov</t>
  </si>
  <si>
    <t>Hazard Overview</t>
  </si>
  <si>
    <t>Metadata</t>
  </si>
  <si>
    <t>Overview of the Sheets</t>
  </si>
  <si>
    <t>Summarizes risk for each jurisdiction for all hazards.</t>
  </si>
  <si>
    <t xml:space="preserve">Summarizes jurisdiction exposure to FEMA flood zones for all jurisdictions in the Bay Area. </t>
  </si>
  <si>
    <t xml:space="preserve">Summarizes exposure to fire hazard severity for all jurisdictions in the Bay Area. </t>
  </si>
  <si>
    <t xml:space="preserve">Summarizes sea level rise exposure for all jurisdictions in the Bay Area. </t>
  </si>
  <si>
    <r>
      <rPr>
        <b/>
        <sz val="11"/>
        <color theme="1"/>
        <rFont val="Calibri"/>
        <family val="2"/>
        <scheme val="minor"/>
      </rPr>
      <t>Description:</t>
    </r>
    <r>
      <rPr>
        <sz val="11"/>
        <color theme="1"/>
        <rFont val="Calibri"/>
        <family val="2"/>
        <scheme val="minor"/>
      </rPr>
      <t xml:space="preserve"> These tables were created to understand the hazard vulnerabilty of existing residences in the Bay Area. While the region is subject to many hazards, many affect the entire region, and are not location specific within regional borders. The hazards highlighted in this resource have both unique boundaries and common existing building mitigations, and include wildfire, flooding, and sea level rise. Data is available down to the parcel scale, and summarized at the jurisdiction level. Data is sorted into parcels that contain single family or multifamily homes.</t>
    </r>
  </si>
  <si>
    <t>Hazard Dictionary</t>
  </si>
  <si>
    <t>Fire Hazard Severity</t>
  </si>
  <si>
    <t>Flood zone data comes from the Federal Emergency Management Agency (FEMA).</t>
  </si>
  <si>
    <t>Sea level rise layers come from the Bay Conservation and Development Commission's (BCDC) Adapting to Rising Tides (ART) Bay Shoreline Flood Explorer, and the National Oceanic and Atmospheric Administration's (NOAA) Coastal Flood Exposure Mapper.</t>
  </si>
  <si>
    <t>100-Year Flood Zone</t>
  </si>
  <si>
    <t>500-Year Flood Zone</t>
  </si>
  <si>
    <t xml:space="preserve">valued when compared to known data sources. </t>
  </si>
  <si>
    <r>
      <t xml:space="preserve">Note that </t>
    </r>
    <r>
      <rPr>
        <b/>
        <sz val="11"/>
        <color theme="1"/>
        <rFont val="Calibri"/>
        <family val="2"/>
        <scheme val="minor"/>
      </rPr>
      <t>moderate</t>
    </r>
    <r>
      <rPr>
        <sz val="11"/>
        <color theme="1"/>
        <rFont val="Calibri"/>
        <family val="2"/>
        <scheme val="minor"/>
      </rPr>
      <t xml:space="preserve"> and </t>
    </r>
    <r>
      <rPr>
        <b/>
        <sz val="11"/>
        <color theme="1"/>
        <rFont val="Calibri"/>
        <family val="2"/>
        <scheme val="minor"/>
      </rPr>
      <t xml:space="preserve">high </t>
    </r>
    <r>
      <rPr>
        <sz val="11"/>
        <color theme="1"/>
        <rFont val="Calibri"/>
        <family val="2"/>
        <scheme val="minor"/>
      </rPr>
      <t xml:space="preserve">fire hazard severity zones are only available for unincorporated county jurisdictions. However, values may show in these zones due to parcels that cross jurisdiction boundaries, which can include overlapping from jurisdictions into unincorporated county; or from changes to jurisdiction or parcel boundaries since 2009, as the fire hazard severity data has not been updated since. </t>
    </r>
  </si>
  <si>
    <t>*Note that moderate and high fire hazard severity zones are only available for unincorporated county jurisdictions. However, values may show in these zones due to parcels that cross jurisdiction boundaries, which can include overlapping from jurisdictions into unincorporated county; or from changes to jurisdiction or recent parcel boundaries.</t>
  </si>
  <si>
    <t>Residential Parcel Sea Level Rise Exposure by Foot of Inundation</t>
  </si>
  <si>
    <t>Foot of Inundation</t>
  </si>
  <si>
    <t>Sea Level Rise by Foot of Inundation</t>
  </si>
  <si>
    <t xml:space="preserve">Fire hazard severity data comes from the Califorinia Department of Forestry and Fire Protection (CalFIRE). </t>
  </si>
  <si>
    <r>
      <t xml:space="preserve">CalFIRE is required by law to map areas of significant fire hazard, based on fire history, terrain, weather, the vegetation, and other factors. The zones influence construction standards and protection measures in that area. The maps show three levels of hazard based on a scoring of the different factors: moderate, high, and very high. </t>
    </r>
    <r>
      <rPr>
        <b/>
        <sz val="10"/>
        <color theme="1"/>
        <rFont val="Calibri"/>
        <family val="2"/>
        <scheme val="minor"/>
      </rPr>
      <t>Moderate</t>
    </r>
    <r>
      <rPr>
        <sz val="10"/>
        <color theme="1"/>
        <rFont val="Calibri"/>
        <family val="2"/>
        <scheme val="minor"/>
      </rPr>
      <t xml:space="preserve"> and </t>
    </r>
    <r>
      <rPr>
        <b/>
        <sz val="10"/>
        <color theme="1"/>
        <rFont val="Calibri"/>
        <family val="2"/>
        <scheme val="minor"/>
      </rPr>
      <t>high</t>
    </r>
    <r>
      <rPr>
        <sz val="10"/>
        <color theme="1"/>
        <rFont val="Calibri"/>
        <family val="2"/>
        <scheme val="minor"/>
      </rPr>
      <t xml:space="preserve"> fire severity zones are only availble for unincorporated county jurisdictions. Moderate and high fire severity zones are not typically differentiated by different regulations. However, </t>
    </r>
    <r>
      <rPr>
        <b/>
        <sz val="10"/>
        <color theme="1"/>
        <rFont val="Calibri"/>
        <family val="2"/>
        <scheme val="minor"/>
      </rPr>
      <t xml:space="preserve">very high </t>
    </r>
    <r>
      <rPr>
        <sz val="10"/>
        <color theme="1"/>
        <rFont val="Calibri"/>
        <family val="2"/>
        <scheme val="minor"/>
      </rPr>
      <t>hazard severity zones are highlighted in all jurisdictions. Very high fire hazard severity zones are subject to additional regulations on design and construction standdards, protection standards, and planning. In very high fire hazard severity zones, owners are also required to disclose the risk as a part of a real estate transfer.</t>
    </r>
  </si>
  <si>
    <t>For more information on the most recent state sea level rise guidance, see their updated Strategic Plan at: http://www.opc.ca.gov/webmaster/ftp/pdf/agenda_items/20200226/OPC-2020-2025-Strategic-Plan-FINAL-20200228.pdf</t>
  </si>
  <si>
    <t>Data Sources</t>
  </si>
  <si>
    <t>Flood levels indicate the depth of inundation over land, typically measured in foot increments. The depth is measured based on "Mean Higher High Water," which is the level of water based on an average of the highest high tides each day in that location. This analysis measures from 1' to 9' of inundation due to the available modeled data for the Bay Area Region. As of 2020, the state Ocean Protection Council recommends that communities plan for 3.5ft of sea level rise inundation by 2050.</t>
  </si>
  <si>
    <r>
      <t xml:space="preserve">Fire Hazard Severity Zones </t>
    </r>
    <r>
      <rPr>
        <b/>
        <i/>
        <sz val="10"/>
        <color theme="1"/>
        <rFont val="Calibri"/>
        <family val="2"/>
        <scheme val="minor"/>
      </rPr>
      <t>(Moderate, High and Very High Fire Hazard Severity Zones)</t>
    </r>
  </si>
  <si>
    <t>Areas with a 0.2% annual chance of flooding. These areas are less likely to flood than 100-year flood zones, typically because of higher elevations or hydrography.</t>
  </si>
  <si>
    <t xml:space="preserve">Areas with a 1% annual chance of flooding.  These areas are subject to more requirements, and are likely to require flood insurance. </t>
  </si>
  <si>
    <t>Areas that are protected from the 100 year flood risk by a levee or other protective infrastructure. These areas may avoid the additional requirements of a 100 year flood zone, such as flood insurance, for the protective life of the levee.</t>
  </si>
  <si>
    <t>Summarizes different hazard terms used in this workbook.</t>
  </si>
  <si>
    <t>All Bay Conservation and Development Commission's Adapting to Rising Tides (ART) layers and the National Oceanic and Atmospheric Adminstration's (NOAA) sea level rise layers are combined for these tables. NOAA was used for sections of Pacific coastline west of the Golden Gate Bridge. BCDC's ART East Contra Costa County (ART ECCC) is used for shoreline communities in the eastern part of the county. Finally BCDC's ART mapping was used for all other regions inside the San Francisco Bay. Each data layer has slight variations in the available sea level rise increment. Mid-units were grouped to the closest values (5.5 feet, 6.4 feet, and 6.9 feet). The chart to the right illustrates the categorization of values. 
Highlighted jurisdictions in Contra Costa (in yellow) are jurisdictions that have available ART ECCC data, which is only available for select SLR layer heights. Including this data lead to an increase in values for specific heights of sea level rise, and not for others, due to limited data. See chart at right for available data layers from ART ECC.</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</si>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</sst>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1"/>
      <color theme="0" tint="-0.249977111117893"/>
      <name val="Calibri"/>
      <family val="2"/>
      <scheme val="minor"/>
    </font>
    <font>
      <b/>
      <sz val="8"/>
      <color theme="1"/>
      <name val="Calibri"/>
      <family val="2"/>
      <scheme val="minor"/>
    </font>
    <font>
      <sz val="12"/>
      <color theme="1"/>
      <name val="Calibri"/>
      <family val="2"/>
      <scheme val="minor"/>
    </font>
    <font>
      <i/>
      <sz val="10"/>
      <color theme="0" tint="-0.34998626667073579"/>
      <name val="Calibri"/>
      <family val="2"/>
      <scheme val="minor"/>
    </font>
    <font>
      <b/>
      <sz val="12"/>
      <color theme="1"/>
      <name val="Calibri"/>
      <family val="2"/>
      <scheme val="minor"/>
    </font>
    <font>
      <sz val="8"/>
      <color theme="1"/>
      <name val="Calibri"/>
      <family val="2"/>
      <scheme val="minor"/>
    </font>
    <font>
      <sz val="11"/>
      <color theme="0" tint="-0.14999847407452621"/>
      <name val="Calibri"/>
      <family val="2"/>
      <scheme val="minor"/>
    </font>
    <font>
      <b/>
      <sz val="14"/>
      <color theme="1"/>
      <name val="Calibri"/>
      <family val="2"/>
      <scheme val="minor"/>
    </font>
    <font>
      <b/>
      <sz val="18"/>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b/>
      <sz val="24"/>
      <color theme="1"/>
      <name val="Calibri"/>
      <family val="2"/>
      <scheme val="minor"/>
    </font>
    <font>
      <sz val="10"/>
      <name val="Calibri"/>
      <family val="2"/>
      <scheme val="minor"/>
    </font>
    <font>
      <b/>
      <sz val="12"/>
      <name val="Calibri"/>
      <family val="2"/>
      <scheme val="minor"/>
    </font>
    <font>
      <sz val="12"/>
      <name val="Calibri"/>
      <family val="2"/>
      <scheme val="minor"/>
    </font>
    <font>
      <b/>
      <sz val="11"/>
      <name val="Calibri"/>
      <family val="2"/>
      <scheme val="minor"/>
    </font>
    <font>
      <b/>
      <sz val="10"/>
      <name val="Calibri"/>
      <family val="2"/>
      <scheme val="minor"/>
    </font>
    <font>
      <u/>
      <sz val="11"/>
      <color theme="10"/>
      <name val="Calibri"/>
      <family val="2"/>
      <scheme val="minor"/>
    </font>
    <font>
      <i/>
      <sz val="10"/>
      <color theme="1"/>
      <name val="Calibri"/>
      <family val="2"/>
      <scheme val="minor"/>
    </font>
    <font>
      <b/>
      <sz val="10"/>
      <color theme="1"/>
      <name val="Calibri"/>
      <family val="2"/>
      <scheme val="minor"/>
    </font>
    <font>
      <i/>
      <sz val="9"/>
      <color theme="1"/>
      <name val="Calibri"/>
      <family val="2"/>
      <scheme val="minor"/>
    </font>
    <font>
      <b/>
      <i/>
      <sz val="10"/>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14999847407452621"/>
        <bgColor theme="0" tint="-0.14999847407452621"/>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23">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right/>
      <top/>
      <bottom style="thin">
        <color theme="1"/>
      </bottom>
      <diagonal/>
    </border>
    <border>
      <left/>
      <right/>
      <top style="thin">
        <color theme="1"/>
      </top>
      <bottom/>
      <diagonal/>
    </border>
    <border>
      <left/>
      <right/>
      <top style="thin">
        <color theme="1"/>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op>
      <bottom style="thin">
        <color theme="0"/>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0" fontId="23" fillId="0" borderId="0" applyNumberFormat="0" applyFill="0" applyBorder="0" applyAlignment="0" applyProtection="0"/>
  </cellStyleXfs>
  <cellXfs count="289">
    <xf numFmtId="0" fontId="0" fillId="0" borderId="0" xfId="0"/>
    <xf numFmtId="0" fontId="1" fillId="0" borderId="0" xfId="0" applyFont="1" applyFill="1"/>
    <xf numFmtId="0" fontId="0" fillId="0" borderId="0" xfId="0" applyFill="1"/>
    <xf numFmtId="0" fontId="0" fillId="0" borderId="0" xfId="0" applyFont="1" applyFill="1"/>
    <xf numFmtId="0" fontId="0" fillId="0" borderId="1" xfId="0" applyFill="1" applyBorder="1"/>
    <xf numFmtId="0" fontId="0" fillId="2" borderId="0" xfId="0" applyFill="1"/>
    <xf numFmtId="0" fontId="0" fillId="3" borderId="0" xfId="0" applyFill="1"/>
    <xf numFmtId="0" fontId="0" fillId="4" borderId="0" xfId="0" applyFill="1"/>
    <xf numFmtId="0" fontId="0" fillId="5" borderId="0" xfId="0" applyFill="1"/>
    <xf numFmtId="0" fontId="4" fillId="0" borderId="0" xfId="0" applyFont="1"/>
    <xf numFmtId="0" fontId="1" fillId="0" borderId="0" xfId="0" applyFont="1"/>
    <xf numFmtId="164" fontId="3" fillId="0" borderId="0" xfId="2" applyNumberFormat="1" applyFont="1" applyAlignment="1">
      <alignment vertical="center"/>
    </xf>
    <xf numFmtId="164" fontId="3" fillId="0" borderId="0" xfId="2" applyNumberFormat="1" applyFont="1" applyBorder="1" applyAlignment="1">
      <alignment vertical="center"/>
    </xf>
    <xf numFmtId="0" fontId="0" fillId="0" borderId="0" xfId="0" applyFill="1" applyBorder="1"/>
    <xf numFmtId="164" fontId="0" fillId="0" borderId="0" xfId="2" applyNumberFormat="1" applyFont="1" applyFill="1" applyBorder="1" applyAlignment="1">
      <alignment vertical="center"/>
    </xf>
    <xf numFmtId="0" fontId="0" fillId="0" borderId="2" xfId="0" applyFill="1" applyBorder="1"/>
    <xf numFmtId="0" fontId="2" fillId="0" borderId="2" xfId="0" applyFont="1" applyFill="1" applyBorder="1"/>
    <xf numFmtId="164" fontId="3" fillId="0" borderId="2" xfId="2" applyNumberFormat="1" applyFont="1" applyBorder="1" applyAlignment="1">
      <alignment vertical="center"/>
    </xf>
    <xf numFmtId="164" fontId="0" fillId="0" borderId="2" xfId="2" applyNumberFormat="1" applyFont="1" applyFill="1" applyBorder="1" applyAlignment="1">
      <alignment vertical="center"/>
    </xf>
    <xf numFmtId="0" fontId="0" fillId="0" borderId="3" xfId="0" applyFill="1" applyBorder="1"/>
    <xf numFmtId="0" fontId="1" fillId="0" borderId="2" xfId="0" applyFont="1" applyFill="1" applyBorder="1"/>
    <xf numFmtId="0" fontId="0" fillId="0" borderId="0" xfId="0" applyAlignment="1">
      <alignment horizontal="right"/>
    </xf>
    <xf numFmtId="164" fontId="3" fillId="0" borderId="1" xfId="2" applyNumberFormat="1" applyFont="1" applyBorder="1" applyAlignment="1">
      <alignment vertical="center"/>
    </xf>
    <xf numFmtId="164" fontId="3" fillId="0" borderId="4" xfId="2" applyNumberFormat="1" applyFont="1" applyBorder="1" applyAlignment="1">
      <alignment vertical="center"/>
    </xf>
    <xf numFmtId="164" fontId="0" fillId="0" borderId="1" xfId="2" applyNumberFormat="1" applyFont="1" applyFill="1" applyBorder="1" applyAlignment="1">
      <alignment vertical="center"/>
    </xf>
    <xf numFmtId="164" fontId="0" fillId="0" borderId="4" xfId="2" applyNumberFormat="1" applyFont="1" applyFill="1" applyBorder="1" applyAlignment="1">
      <alignment vertical="center"/>
    </xf>
    <xf numFmtId="164" fontId="0" fillId="0" borderId="6" xfId="2" applyNumberFormat="1" applyFont="1" applyFill="1" applyBorder="1" applyAlignment="1">
      <alignment vertical="center"/>
    </xf>
    <xf numFmtId="43" fontId="0" fillId="0" borderId="0" xfId="0" applyNumberFormat="1" applyFill="1"/>
    <xf numFmtId="9" fontId="0" fillId="0" borderId="0" xfId="1" applyFont="1" applyFill="1"/>
    <xf numFmtId="9" fontId="0" fillId="0" borderId="3" xfId="1" applyFont="1" applyFill="1" applyBorder="1"/>
    <xf numFmtId="43" fontId="0" fillId="0" borderId="3" xfId="0" applyNumberFormat="1" applyFill="1" applyBorder="1"/>
    <xf numFmtId="9" fontId="0" fillId="0" borderId="0" xfId="1" applyNumberFormat="1" applyFont="1" applyFill="1"/>
    <xf numFmtId="9" fontId="0" fillId="0" borderId="2" xfId="1" applyNumberFormat="1" applyFont="1" applyFill="1" applyBorder="1"/>
    <xf numFmtId="9" fontId="0" fillId="0" borderId="1" xfId="1" applyNumberFormat="1" applyFont="1" applyFill="1" applyBorder="1"/>
    <xf numFmtId="9" fontId="0" fillId="0" borderId="4" xfId="1" applyNumberFormat="1" applyFont="1" applyFill="1" applyBorder="1"/>
    <xf numFmtId="9" fontId="7" fillId="0" borderId="0" xfId="0" applyNumberFormat="1" applyFont="1" applyBorder="1" applyAlignment="1">
      <alignment horizontal="center" vertical="top"/>
    </xf>
    <xf numFmtId="9" fontId="7" fillId="0" borderId="8" xfId="0" applyNumberFormat="1" applyFont="1" applyBorder="1" applyAlignment="1">
      <alignment horizontal="center" vertical="top"/>
    </xf>
    <xf numFmtId="0" fontId="8" fillId="0" borderId="0" xfId="0" applyFont="1"/>
    <xf numFmtId="0" fontId="6" fillId="0" borderId="0" xfId="0" applyFont="1" applyBorder="1" applyAlignment="1">
      <alignment horizontal="center" vertical="center"/>
    </xf>
    <xf numFmtId="0" fontId="6" fillId="0" borderId="0" xfId="0" applyFont="1" applyAlignment="1">
      <alignment horizontal="center" vertical="center"/>
    </xf>
    <xf numFmtId="3" fontId="6" fillId="0" borderId="7" xfId="2" applyNumberFormat="1" applyFont="1" applyBorder="1" applyAlignment="1">
      <alignment horizontal="center" vertical="center"/>
    </xf>
    <xf numFmtId="0" fontId="6" fillId="0" borderId="0" xfId="2" applyNumberFormat="1" applyFont="1" applyBorder="1" applyAlignment="1">
      <alignment horizontal="center" vertical="center"/>
    </xf>
    <xf numFmtId="0" fontId="5" fillId="0" borderId="0" xfId="0" applyFont="1" applyAlignment="1">
      <alignment vertical="center" wrapText="1"/>
    </xf>
    <xf numFmtId="0" fontId="5" fillId="0" borderId="0" xfId="0" applyFont="1"/>
    <xf numFmtId="0" fontId="6" fillId="0" borderId="2" xfId="0" applyFont="1" applyBorder="1" applyAlignment="1">
      <alignment horizontal="center" vertical="center"/>
    </xf>
    <xf numFmtId="3" fontId="6" fillId="0" borderId="0" xfId="2" applyNumberFormat="1" applyFont="1" applyBorder="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0" fillId="0" borderId="0" xfId="0" applyFont="1"/>
    <xf numFmtId="0" fontId="0" fillId="0" borderId="2" xfId="0" applyBorder="1"/>
    <xf numFmtId="1" fontId="0" fillId="0" borderId="0" xfId="0" applyNumberFormat="1"/>
    <xf numFmtId="1" fontId="10" fillId="0" borderId="0" xfId="0" applyNumberFormat="1" applyFont="1" applyBorder="1"/>
    <xf numFmtId="1" fontId="0" fillId="0" borderId="2" xfId="0" applyNumberFormat="1" applyBorder="1"/>
    <xf numFmtId="1" fontId="10" fillId="0" borderId="2" xfId="0" applyNumberFormat="1" applyFont="1" applyBorder="1"/>
    <xf numFmtId="1" fontId="0" fillId="0" borderId="0" xfId="0" applyNumberFormat="1" applyFill="1" applyBorder="1"/>
    <xf numFmtId="1" fontId="2" fillId="0" borderId="0" xfId="0" applyNumberFormat="1" applyFont="1" applyFill="1" applyBorder="1"/>
    <xf numFmtId="1" fontId="10" fillId="0" borderId="7" xfId="0" applyNumberFormat="1" applyFont="1" applyBorder="1"/>
    <xf numFmtId="1" fontId="10" fillId="0" borderId="0" xfId="0" applyNumberFormat="1" applyFont="1" applyFill="1" applyBorder="1"/>
    <xf numFmtId="1" fontId="2" fillId="0" borderId="2" xfId="0" applyNumberFormat="1" applyFont="1" applyFill="1" applyBorder="1"/>
    <xf numFmtId="0" fontId="2" fillId="0" borderId="0" xfId="0" applyFont="1" applyFill="1"/>
    <xf numFmtId="1" fontId="10" fillId="0" borderId="2" xfId="0" applyNumberFormat="1" applyFont="1" applyFill="1" applyBorder="1"/>
    <xf numFmtId="0" fontId="0" fillId="0" borderId="3" xfId="0" applyBorder="1"/>
    <xf numFmtId="1" fontId="0" fillId="0" borderId="3" xfId="0" applyNumberFormat="1" applyFont="1" applyBorder="1"/>
    <xf numFmtId="0" fontId="11" fillId="0" borderId="0" xfId="0" applyFont="1"/>
    <xf numFmtId="0" fontId="1" fillId="0" borderId="0" xfId="0" applyFont="1" applyAlignment="1">
      <alignment wrapText="1"/>
    </xf>
    <xf numFmtId="0" fontId="0" fillId="0" borderId="0" xfId="0" applyAlignment="1">
      <alignment horizontal="left" wrapText="1"/>
    </xf>
    <xf numFmtId="164" fontId="13" fillId="0" borderId="7" xfId="2" applyNumberFormat="1" applyFont="1" applyBorder="1"/>
    <xf numFmtId="164" fontId="13" fillId="0" borderId="0" xfId="2" applyNumberFormat="1" applyFont="1"/>
    <xf numFmtId="164" fontId="13" fillId="0" borderId="2" xfId="2" applyNumberFormat="1" applyFont="1" applyBorder="1"/>
    <xf numFmtId="164" fontId="13" fillId="0" borderId="0" xfId="2" applyNumberFormat="1" applyFont="1" applyBorder="1"/>
    <xf numFmtId="164" fontId="13" fillId="0" borderId="3" xfId="2" applyNumberFormat="1" applyFont="1" applyBorder="1"/>
    <xf numFmtId="9" fontId="13" fillId="0" borderId="0" xfId="1" applyNumberFormat="1" applyFont="1"/>
    <xf numFmtId="9" fontId="13" fillId="0" borderId="2" xfId="1" applyNumberFormat="1" applyFont="1" applyBorder="1"/>
    <xf numFmtId="9" fontId="13" fillId="0" borderId="0" xfId="1" applyNumberFormat="1" applyFont="1" applyBorder="1"/>
    <xf numFmtId="9" fontId="13" fillId="0" borderId="1" xfId="1" applyNumberFormat="1" applyFont="1" applyBorder="1"/>
    <xf numFmtId="9" fontId="13" fillId="0" borderId="4" xfId="1" applyNumberFormat="1" applyFont="1" applyBorder="1"/>
    <xf numFmtId="9" fontId="0" fillId="0" borderId="1" xfId="1" applyFont="1" applyFill="1" applyBorder="1"/>
    <xf numFmtId="9" fontId="0" fillId="0" borderId="6" xfId="1" applyFont="1" applyFill="1" applyBorder="1"/>
    <xf numFmtId="9" fontId="0" fillId="0" borderId="0" xfId="1" applyFont="1" applyFill="1" applyBorder="1"/>
    <xf numFmtId="9" fontId="0" fillId="0" borderId="2" xfId="1" applyFont="1" applyFill="1" applyBorder="1"/>
    <xf numFmtId="9" fontId="0" fillId="0" borderId="4" xfId="1" applyFont="1" applyFill="1" applyBorder="1"/>
    <xf numFmtId="43" fontId="0" fillId="0" borderId="2" xfId="0" applyNumberFormat="1" applyFill="1" applyBorder="1"/>
    <xf numFmtId="43" fontId="0" fillId="0" borderId="0" xfId="0" applyNumberFormat="1" applyFill="1" applyBorder="1"/>
    <xf numFmtId="164" fontId="0" fillId="0" borderId="3" xfId="2" applyNumberFormat="1" applyFont="1" applyFill="1" applyBorder="1" applyAlignment="1">
      <alignment vertical="center"/>
    </xf>
    <xf numFmtId="0" fontId="9" fillId="0" borderId="0" xfId="0" applyFont="1" applyAlignment="1">
      <alignment horizontal="left" wrapText="1"/>
    </xf>
    <xf numFmtId="0" fontId="0" fillId="10" borderId="0" xfId="0" applyFont="1" applyFill="1"/>
    <xf numFmtId="0" fontId="0" fillId="0" borderId="0" xfId="0" applyFont="1"/>
    <xf numFmtId="0" fontId="0" fillId="10" borderId="9" xfId="0" applyFont="1" applyFill="1" applyBorder="1"/>
    <xf numFmtId="0" fontId="1" fillId="0" borderId="10" xfId="0" applyFont="1" applyBorder="1"/>
    <xf numFmtId="0" fontId="0" fillId="10" borderId="10" xfId="0" applyFont="1" applyFill="1" applyBorder="1"/>
    <xf numFmtId="9" fontId="0" fillId="10" borderId="10" xfId="1" applyFont="1" applyFill="1" applyBorder="1"/>
    <xf numFmtId="9" fontId="0" fillId="0" borderId="0" xfId="1" applyFont="1"/>
    <xf numFmtId="9" fontId="0" fillId="10" borderId="0" xfId="1" applyFont="1" applyFill="1"/>
    <xf numFmtId="9" fontId="0" fillId="10" borderId="9" xfId="1" applyFont="1" applyFill="1" applyBorder="1"/>
    <xf numFmtId="0" fontId="8" fillId="0" borderId="0" xfId="0" applyFont="1" applyFill="1" applyBorder="1"/>
    <xf numFmtId="0" fontId="0" fillId="10" borderId="0" xfId="0" applyFont="1" applyFill="1" applyBorder="1"/>
    <xf numFmtId="0" fontId="1" fillId="11" borderId="10" xfId="0" applyFont="1" applyFill="1" applyBorder="1"/>
    <xf numFmtId="0" fontId="1" fillId="11" borderId="11" xfId="0" applyFont="1" applyFill="1" applyBorder="1"/>
    <xf numFmtId="0" fontId="1" fillId="11" borderId="2" xfId="0" applyFont="1" applyFill="1" applyBorder="1"/>
    <xf numFmtId="0" fontId="0" fillId="12" borderId="2" xfId="0" applyFill="1" applyBorder="1"/>
    <xf numFmtId="0" fontId="8" fillId="12" borderId="0" xfId="0" applyFont="1" applyFill="1"/>
    <xf numFmtId="0" fontId="0" fillId="12" borderId="0" xfId="0" applyFont="1" applyFill="1"/>
    <xf numFmtId="0" fontId="0" fillId="12" borderId="0" xfId="0" applyFill="1"/>
    <xf numFmtId="0" fontId="9" fillId="0" borderId="0" xfId="0" applyFont="1" applyAlignment="1">
      <alignment wrapText="1"/>
    </xf>
    <xf numFmtId="0" fontId="12" fillId="0" borderId="0" xfId="0" applyFont="1" applyFill="1" applyBorder="1"/>
    <xf numFmtId="0" fontId="6" fillId="0" borderId="0" xfId="0" applyFont="1" applyAlignment="1">
      <alignment horizontal="center"/>
    </xf>
    <xf numFmtId="0" fontId="6" fillId="0" borderId="2" xfId="0" applyFont="1" applyBorder="1" applyAlignment="1">
      <alignment horizontal="center"/>
    </xf>
    <xf numFmtId="3" fontId="6" fillId="0" borderId="7" xfId="2" applyNumberFormat="1" applyFont="1" applyFill="1" applyBorder="1" applyAlignment="1">
      <alignment horizontal="center" vertical="center"/>
    </xf>
    <xf numFmtId="0" fontId="6" fillId="0" borderId="0" xfId="2" applyNumberFormat="1" applyFont="1" applyFill="1" applyBorder="1" applyAlignment="1">
      <alignment horizontal="center" vertical="center"/>
    </xf>
    <xf numFmtId="9" fontId="7" fillId="0" borderId="0" xfId="0" applyNumberFormat="1" applyFont="1" applyFill="1" applyBorder="1" applyAlignment="1">
      <alignment horizontal="center" vertical="top"/>
    </xf>
    <xf numFmtId="3" fontId="6" fillId="0" borderId="0" xfId="2" applyNumberFormat="1" applyFont="1" applyFill="1" applyBorder="1" applyAlignment="1">
      <alignment horizontal="center" vertical="center"/>
    </xf>
    <xf numFmtId="9" fontId="7" fillId="0" borderId="8" xfId="0" applyNumberFormat="1" applyFont="1" applyFill="1" applyBorder="1" applyAlignment="1">
      <alignment horizontal="center" vertical="top"/>
    </xf>
    <xf numFmtId="0" fontId="0" fillId="9" borderId="2" xfId="0" applyFill="1" applyBorder="1"/>
    <xf numFmtId="9" fontId="0" fillId="0" borderId="5" xfId="1" applyNumberFormat="1" applyFont="1" applyFill="1" applyBorder="1"/>
    <xf numFmtId="0" fontId="0" fillId="0" borderId="5" xfId="0" applyFill="1" applyBorder="1"/>
    <xf numFmtId="9" fontId="0" fillId="0" borderId="13" xfId="1" applyNumberFormat="1" applyFont="1" applyFill="1" applyBorder="1"/>
    <xf numFmtId="9" fontId="0" fillId="0" borderId="14" xfId="1" applyNumberFormat="1" applyFont="1" applyFill="1" applyBorder="1"/>
    <xf numFmtId="164" fontId="0" fillId="0" borderId="15" xfId="2" applyNumberFormat="1" applyFont="1" applyFill="1" applyBorder="1" applyAlignment="1">
      <alignment vertical="center"/>
    </xf>
    <xf numFmtId="0" fontId="8" fillId="0" borderId="0" xfId="0" applyFont="1" applyFill="1"/>
    <xf numFmtId="0" fontId="0" fillId="0" borderId="0" xfId="0" applyFill="1" applyAlignment="1">
      <alignment horizontal="center"/>
    </xf>
    <xf numFmtId="0" fontId="12" fillId="0" borderId="0" xfId="0" applyFont="1" applyFill="1"/>
    <xf numFmtId="0" fontId="12" fillId="0" borderId="0" xfId="0" applyFont="1" applyAlignment="1">
      <alignment vertical="center"/>
    </xf>
    <xf numFmtId="0" fontId="0" fillId="13" borderId="0" xfId="0" applyFill="1"/>
    <xf numFmtId="164" fontId="13" fillId="0" borderId="0" xfId="2" applyNumberFormat="1" applyFont="1" applyFill="1"/>
    <xf numFmtId="0" fontId="17" fillId="0" borderId="0" xfId="0" applyFont="1"/>
    <xf numFmtId="0" fontId="1" fillId="5" borderId="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5" xfId="0" applyFont="1" applyFill="1" applyBorder="1" applyAlignment="1">
      <alignment horizontal="center" vertical="center"/>
    </xf>
    <xf numFmtId="0" fontId="16" fillId="5" borderId="0" xfId="0" applyFont="1" applyFill="1" applyBorder="1" applyAlignment="1">
      <alignment horizontal="center" vertical="center" wrapText="1"/>
    </xf>
    <xf numFmtId="0" fontId="1" fillId="2" borderId="0" xfId="0" applyFont="1" applyFill="1"/>
    <xf numFmtId="0" fontId="1" fillId="2" borderId="0" xfId="0" applyFont="1" applyFill="1" applyAlignment="1">
      <alignment vertical="center"/>
    </xf>
    <xf numFmtId="0" fontId="0" fillId="6" borderId="16" xfId="0" applyFill="1" applyBorder="1" applyAlignment="1">
      <alignment horizontal="center" vertical="center"/>
    </xf>
    <xf numFmtId="0" fontId="1" fillId="6" borderId="16" xfId="0" applyFont="1" applyFill="1" applyBorder="1" applyAlignment="1">
      <alignment horizontal="center" vertical="center"/>
    </xf>
    <xf numFmtId="0" fontId="16" fillId="6" borderId="16"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0" borderId="0" xfId="0" applyFont="1" applyFill="1" applyBorder="1"/>
    <xf numFmtId="0" fontId="1" fillId="0" borderId="5" xfId="0" applyFont="1" applyFill="1" applyBorder="1"/>
    <xf numFmtId="0" fontId="1" fillId="0" borderId="13" xfId="0" applyFont="1" applyFill="1" applyBorder="1"/>
    <xf numFmtId="0" fontId="1" fillId="5" borderId="16" xfId="0" applyFont="1" applyFill="1" applyBorder="1" applyAlignment="1">
      <alignment horizontal="center" vertical="center"/>
    </xf>
    <xf numFmtId="0" fontId="16" fillId="5" borderId="16" xfId="0" applyFont="1" applyFill="1" applyBorder="1" applyAlignment="1">
      <alignment vertical="center" wrapText="1"/>
    </xf>
    <xf numFmtId="0" fontId="0" fillId="5" borderId="16" xfId="0" applyFont="1" applyFill="1" applyBorder="1" applyAlignment="1">
      <alignment horizontal="center" vertical="center" wrapText="1"/>
    </xf>
    <xf numFmtId="164" fontId="0" fillId="0" borderId="0" xfId="2" applyNumberFormat="1" applyFont="1" applyFill="1"/>
    <xf numFmtId="164" fontId="0" fillId="0" borderId="1" xfId="2" applyNumberFormat="1" applyFont="1" applyFill="1" applyBorder="1"/>
    <xf numFmtId="164" fontId="0" fillId="0" borderId="2" xfId="2" applyNumberFormat="1" applyFont="1" applyFill="1" applyBorder="1"/>
    <xf numFmtId="164" fontId="0" fillId="0" borderId="4" xfId="2" applyNumberFormat="1" applyFont="1" applyFill="1" applyBorder="1"/>
    <xf numFmtId="164" fontId="0" fillId="0" borderId="0" xfId="2" applyNumberFormat="1" applyFont="1" applyFill="1" applyAlignment="1"/>
    <xf numFmtId="164" fontId="0" fillId="0" borderId="1" xfId="2" applyNumberFormat="1" applyFont="1" applyFill="1" applyBorder="1" applyAlignment="1"/>
    <xf numFmtId="164" fontId="0" fillId="0" borderId="2" xfId="2" applyNumberFormat="1" applyFont="1" applyFill="1" applyBorder="1" applyAlignment="1"/>
    <xf numFmtId="164" fontId="0" fillId="0" borderId="4" xfId="2" applyNumberFormat="1" applyFont="1" applyFill="1" applyBorder="1" applyAlignment="1"/>
    <xf numFmtId="164" fontId="0" fillId="0" borderId="0" xfId="2" applyNumberFormat="1" applyFont="1" applyFill="1" applyBorder="1"/>
    <xf numFmtId="164" fontId="0" fillId="0" borderId="3" xfId="2" applyNumberFormat="1" applyFont="1" applyFill="1" applyBorder="1"/>
    <xf numFmtId="164" fontId="0" fillId="0" borderId="6" xfId="2" applyNumberFormat="1" applyFont="1" applyFill="1" applyBorder="1"/>
    <xf numFmtId="0" fontId="1" fillId="2" borderId="16" xfId="0" applyFont="1" applyFill="1" applyBorder="1" applyAlignment="1">
      <alignment horizontal="center"/>
    </xf>
    <xf numFmtId="0" fontId="16" fillId="6" borderId="1" xfId="0" applyFont="1" applyFill="1" applyBorder="1" applyAlignment="1">
      <alignment wrapText="1"/>
    </xf>
    <xf numFmtId="0" fontId="1" fillId="2" borderId="2" xfId="0" applyFont="1" applyFill="1" applyBorder="1"/>
    <xf numFmtId="0" fontId="0" fillId="12" borderId="17" xfId="0" applyFill="1" applyBorder="1" applyAlignment="1">
      <alignment horizontal="center" vertical="center"/>
    </xf>
    <xf numFmtId="0" fontId="0" fillId="8" borderId="17" xfId="0" applyFill="1" applyBorder="1" applyAlignment="1">
      <alignment horizontal="center" vertical="center"/>
    </xf>
    <xf numFmtId="0" fontId="1" fillId="0" borderId="0" xfId="0" applyFont="1" applyAlignment="1">
      <alignment horizontal="right" vertical="center"/>
    </xf>
    <xf numFmtId="0" fontId="0" fillId="0" borderId="0" xfId="0" applyAlignment="1">
      <alignment vertical="top"/>
    </xf>
    <xf numFmtId="0" fontId="12" fillId="0" borderId="0" xfId="0" applyFont="1" applyFill="1" applyBorder="1" applyAlignment="1">
      <alignment horizontal="center" vertical="center"/>
    </xf>
    <xf numFmtId="0" fontId="1" fillId="6" borderId="16" xfId="0" applyFont="1" applyFill="1" applyBorder="1" applyAlignment="1">
      <alignment horizontal="center" vertical="center"/>
    </xf>
    <xf numFmtId="0" fontId="0" fillId="0" borderId="0" xfId="0" applyAlignment="1">
      <alignment horizontal="left"/>
    </xf>
    <xf numFmtId="0" fontId="13" fillId="6" borderId="6" xfId="0" applyFont="1" applyFill="1" applyBorder="1" applyAlignment="1">
      <alignment horizontal="center" vertical="center" wrapText="1"/>
    </xf>
    <xf numFmtId="0" fontId="0" fillId="0" borderId="4" xfId="0" applyFill="1" applyBorder="1"/>
    <xf numFmtId="0" fontId="0" fillId="0" borderId="6" xfId="0" applyFill="1" applyBorder="1"/>
    <xf numFmtId="0" fontId="0" fillId="0" borderId="5" xfId="0" applyBorder="1"/>
    <xf numFmtId="0" fontId="0" fillId="0" borderId="13" xfId="0" applyBorder="1"/>
    <xf numFmtId="0" fontId="0" fillId="0" borderId="14" xfId="0" applyBorder="1"/>
    <xf numFmtId="0" fontId="1" fillId="2" borderId="6" xfId="0" applyFont="1" applyFill="1" applyBorder="1" applyAlignment="1">
      <alignment horizontal="center" vertical="center"/>
    </xf>
    <xf numFmtId="164" fontId="0" fillId="0" borderId="0" xfId="2" applyNumberFormat="1" applyFont="1" applyFill="1" applyBorder="1" applyAlignment="1"/>
    <xf numFmtId="9" fontId="0" fillId="0" borderId="0" xfId="1" applyNumberFormat="1" applyFont="1" applyFill="1" applyBorder="1"/>
    <xf numFmtId="9" fontId="0" fillId="0" borderId="1" xfId="1" applyFont="1" applyFill="1" applyBorder="1" applyAlignment="1"/>
    <xf numFmtId="9" fontId="0" fillId="0" borderId="0" xfId="1" applyFont="1" applyFill="1" applyBorder="1" applyAlignment="1"/>
    <xf numFmtId="0" fontId="0" fillId="7" borderId="0" xfId="0" applyFill="1" applyBorder="1"/>
    <xf numFmtId="0" fontId="1" fillId="0" borderId="0" xfId="0" applyFont="1" applyAlignment="1">
      <alignment horizontal="left" vertical="center" wrapText="1"/>
    </xf>
    <xf numFmtId="0" fontId="19" fillId="0" borderId="0" xfId="0" applyFont="1" applyAlignment="1">
      <alignment horizontal="left" vertical="center" wrapText="1"/>
    </xf>
    <xf numFmtId="0" fontId="18" fillId="0" borderId="0" xfId="0" applyFont="1" applyFill="1"/>
    <xf numFmtId="17" fontId="0" fillId="0" borderId="0" xfId="0" applyNumberFormat="1"/>
    <xf numFmtId="0" fontId="0" fillId="0" borderId="0" xfId="0" applyAlignment="1">
      <alignment wrapText="1"/>
    </xf>
    <xf numFmtId="0" fontId="23" fillId="0" borderId="0" xfId="3"/>
    <xf numFmtId="0" fontId="14" fillId="0" borderId="0" xfId="0" applyFont="1"/>
    <xf numFmtId="0" fontId="24" fillId="0" borderId="0" xfId="0" applyFont="1"/>
    <xf numFmtId="0" fontId="22" fillId="0" borderId="0" xfId="0" applyFont="1" applyFill="1" applyAlignment="1">
      <alignment vertical="center"/>
    </xf>
    <xf numFmtId="0" fontId="18" fillId="0" borderId="0" xfId="0" applyFont="1" applyFill="1" applyAlignment="1">
      <alignment vertical="center"/>
    </xf>
    <xf numFmtId="0" fontId="13" fillId="0" borderId="0" xfId="0" applyFont="1" applyAlignment="1">
      <alignment horizontal="left" vertical="center" wrapText="1"/>
    </xf>
    <xf numFmtId="0" fontId="13" fillId="0" borderId="0" xfId="0" applyFont="1"/>
    <xf numFmtId="0" fontId="11" fillId="0" borderId="0" xfId="0" applyFont="1" applyBorder="1" applyAlignment="1">
      <alignment horizontal="center"/>
    </xf>
    <xf numFmtId="0" fontId="25" fillId="0" borderId="0" xfId="0" applyFont="1"/>
    <xf numFmtId="0" fontId="6" fillId="0" borderId="0" xfId="0" applyFont="1" applyFill="1" applyAlignment="1">
      <alignment horizontal="center" vertical="center" wrapText="1"/>
    </xf>
    <xf numFmtId="0" fontId="6" fillId="0" borderId="0" xfId="0" applyFont="1" applyFill="1" applyAlignment="1">
      <alignment horizontal="center" wrapText="1"/>
    </xf>
    <xf numFmtId="0" fontId="6" fillId="0" borderId="2" xfId="0" applyFont="1" applyFill="1" applyBorder="1" applyAlignment="1">
      <alignment horizontal="center" wrapText="1"/>
    </xf>
    <xf numFmtId="0" fontId="21" fillId="0" borderId="0" xfId="0" applyFont="1" applyFill="1" applyAlignment="1">
      <alignment horizontal="right" vertical="center"/>
    </xf>
    <xf numFmtId="0" fontId="2" fillId="0" borderId="0" xfId="0" applyFont="1" applyFill="1" applyAlignment="1">
      <alignment horizontal="left" vertical="center"/>
    </xf>
    <xf numFmtId="0" fontId="21" fillId="0" borderId="0" xfId="0" applyFont="1" applyFill="1" applyAlignment="1">
      <alignment vertical="center" wrapText="1"/>
    </xf>
    <xf numFmtId="0" fontId="2" fillId="0" borderId="0" xfId="0" applyFont="1" applyFill="1" applyAlignment="1">
      <alignment vertical="center"/>
    </xf>
    <xf numFmtId="0" fontId="21" fillId="0" borderId="0" xfId="0" applyFont="1" applyFill="1" applyAlignment="1">
      <alignment horizontal="center" vertical="center"/>
    </xf>
    <xf numFmtId="0" fontId="22" fillId="0" borderId="0" xfId="0" applyFont="1" applyFill="1" applyAlignment="1">
      <alignment vertical="center" wrapText="1"/>
    </xf>
    <xf numFmtId="0" fontId="18" fillId="0" borderId="0" xfId="0" applyFont="1" applyFill="1" applyAlignment="1">
      <alignment horizontal="center"/>
    </xf>
    <xf numFmtId="0" fontId="18" fillId="0" borderId="0" xfId="0" applyFont="1" applyFill="1" applyAlignment="1">
      <alignment horizontal="left" vertical="center"/>
    </xf>
    <xf numFmtId="0" fontId="22" fillId="0" borderId="0" xfId="0" applyFont="1" applyFill="1" applyAlignment="1">
      <alignment horizontal="center" vertical="center"/>
    </xf>
    <xf numFmtId="0" fontId="18" fillId="0" borderId="0" xfId="0" applyFont="1" applyFill="1" applyAlignment="1">
      <alignment horizontal="center" vertical="center" wrapText="1"/>
    </xf>
    <xf numFmtId="0" fontId="26" fillId="0" borderId="0" xfId="0" applyFont="1"/>
    <xf numFmtId="0" fontId="0" fillId="6" borderId="0" xfId="0" applyFill="1"/>
    <xf numFmtId="0" fontId="25" fillId="5" borderId="0" xfId="0" applyFont="1" applyFill="1"/>
    <xf numFmtId="0" fontId="25" fillId="5" borderId="0" xfId="0" applyFont="1" applyFill="1" applyAlignment="1">
      <alignment horizontal="left" vertical="center" wrapText="1"/>
    </xf>
    <xf numFmtId="0" fontId="25" fillId="5" borderId="0" xfId="0" applyFont="1" applyFill="1" applyAlignment="1">
      <alignment vertical="center"/>
    </xf>
    <xf numFmtId="0" fontId="25" fillId="0" borderId="0" xfId="0" applyFont="1" applyFill="1" applyAlignment="1">
      <alignment horizontal="left" vertical="center" wrapText="1"/>
    </xf>
    <xf numFmtId="0" fontId="13" fillId="0" borderId="0" xfId="0" applyFont="1" applyFill="1" applyAlignment="1">
      <alignment horizontal="left" vertical="center" wrapText="1"/>
    </xf>
    <xf numFmtId="0" fontId="8" fillId="6" borderId="0" xfId="0" applyFont="1" applyFill="1"/>
    <xf numFmtId="164" fontId="0" fillId="0" borderId="5" xfId="0" applyNumberFormat="1" applyFill="1" applyBorder="1"/>
    <xf numFmtId="164" fontId="0" fillId="0" borderId="13" xfId="0" applyNumberFormat="1" applyFill="1" applyBorder="1"/>
    <xf numFmtId="0" fontId="0" fillId="0" borderId="17" xfId="0" applyFill="1" applyBorder="1" applyAlignment="1">
      <alignment horizontal="center" vertical="center"/>
    </xf>
    <xf numFmtId="0" fontId="8" fillId="0" borderId="18" xfId="0" applyFont="1" applyBorder="1" applyAlignment="1"/>
    <xf numFmtId="164" fontId="3" fillId="0" borderId="20" xfId="2" applyNumberFormat="1" applyFont="1" applyBorder="1" applyAlignment="1">
      <alignment vertical="center"/>
    </xf>
    <xf numFmtId="164" fontId="3" fillId="0" borderId="5" xfId="2" applyNumberFormat="1" applyFont="1" applyBorder="1" applyAlignment="1">
      <alignment vertical="center"/>
    </xf>
    <xf numFmtId="164" fontId="3" fillId="0" borderId="13" xfId="2" applyNumberFormat="1" applyFont="1" applyBorder="1" applyAlignment="1">
      <alignment vertical="center"/>
    </xf>
    <xf numFmtId="0" fontId="1" fillId="6" borderId="16"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5" borderId="16" xfId="0" applyFont="1" applyFill="1" applyBorder="1" applyAlignment="1">
      <alignment horizontal="center" vertical="center" wrapText="1"/>
    </xf>
    <xf numFmtId="164" fontId="13" fillId="0" borderId="19" xfId="0" applyNumberFormat="1" applyFont="1" applyFill="1" applyBorder="1"/>
    <xf numFmtId="164" fontId="13" fillId="0" borderId="12" xfId="0" applyNumberFormat="1" applyFont="1" applyFill="1" applyBorder="1"/>
    <xf numFmtId="164" fontId="13" fillId="0" borderId="21" xfId="0" applyNumberFormat="1" applyFont="1" applyFill="1" applyBorder="1"/>
    <xf numFmtId="9" fontId="13" fillId="8" borderId="19" xfId="1" applyNumberFormat="1" applyFont="1" applyFill="1" applyBorder="1"/>
    <xf numFmtId="9" fontId="13" fillId="8" borderId="12" xfId="1" applyNumberFormat="1" applyFont="1" applyFill="1" applyBorder="1"/>
    <xf numFmtId="9" fontId="13" fillId="8" borderId="21" xfId="1" applyNumberFormat="1" applyFont="1" applyFill="1" applyBorder="1"/>
    <xf numFmtId="164" fontId="13" fillId="0" borderId="0" xfId="2" applyNumberFormat="1" applyFont="1" applyFill="1" applyBorder="1"/>
    <xf numFmtId="164" fontId="13" fillId="0" borderId="16" xfId="0" applyNumberFormat="1" applyFont="1" applyFill="1" applyBorder="1"/>
    <xf numFmtId="9" fontId="13" fillId="0" borderId="6" xfId="1" applyNumberFormat="1" applyFont="1" applyBorder="1"/>
    <xf numFmtId="9" fontId="13" fillId="0" borderId="3" xfId="1" applyNumberFormat="1" applyFont="1" applyBorder="1"/>
    <xf numFmtId="9" fontId="13" fillId="8" borderId="16" xfId="1" applyNumberFormat="1" applyFont="1" applyFill="1" applyBorder="1"/>
    <xf numFmtId="0" fontId="0" fillId="0" borderId="0" xfId="0" applyAlignment="1">
      <alignment horizontal="left" vertical="center" wrapText="1"/>
    </xf>
    <xf numFmtId="0" fontId="19" fillId="0" borderId="0" xfId="0" applyFont="1" applyAlignment="1">
      <alignment horizontal="left" vertical="center" wrapText="1"/>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9" fillId="0" borderId="0" xfId="0" applyFont="1" applyFill="1" applyAlignment="1">
      <alignment horizontal="left" vertical="top" wrapText="1"/>
    </xf>
    <xf numFmtId="0" fontId="12" fillId="5"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Alignment="1">
      <alignment horizontal="left" wrapText="1"/>
    </xf>
    <xf numFmtId="0" fontId="13" fillId="0" borderId="0" xfId="0" applyFont="1" applyAlignment="1">
      <alignment horizontal="left" vertical="center" wrapText="1"/>
    </xf>
    <xf numFmtId="0" fontId="13" fillId="0" borderId="0" xfId="0" applyFont="1" applyAlignment="1">
      <alignment horizontal="left" wrapText="1"/>
    </xf>
    <xf numFmtId="0" fontId="0" fillId="7" borderId="16" xfId="0" applyFill="1" applyBorder="1" applyAlignment="1">
      <alignment horizontal="center" vertical="center" wrapText="1"/>
    </xf>
    <xf numFmtId="0" fontId="0" fillId="6" borderId="16" xfId="0" applyFill="1" applyBorder="1" applyAlignment="1">
      <alignment horizontal="center" vertical="center"/>
    </xf>
    <xf numFmtId="0" fontId="0" fillId="0" borderId="0" xfId="0" applyFont="1" applyFill="1" applyAlignment="1">
      <alignment horizontal="left" vertical="center" wrapText="1"/>
    </xf>
    <xf numFmtId="0" fontId="11" fillId="0" borderId="4" xfId="0" applyFont="1" applyFill="1" applyBorder="1" applyAlignment="1">
      <alignment horizontal="center"/>
    </xf>
    <xf numFmtId="0" fontId="11" fillId="0" borderId="2" xfId="0" applyFont="1" applyFill="1" applyBorder="1" applyAlignment="1">
      <alignment horizontal="center"/>
    </xf>
    <xf numFmtId="0" fontId="11" fillId="0" borderId="13" xfId="0" applyFont="1" applyFill="1" applyBorder="1" applyAlignment="1">
      <alignment horizontal="center"/>
    </xf>
    <xf numFmtId="0" fontId="0" fillId="5" borderId="4" xfId="0" applyFill="1" applyBorder="1" applyAlignment="1">
      <alignment horizontal="center" vertical="center"/>
    </xf>
    <xf numFmtId="0" fontId="0" fillId="5" borderId="13" xfId="0" applyFill="1" applyBorder="1" applyAlignment="1">
      <alignment horizontal="center" vertical="center"/>
    </xf>
    <xf numFmtId="0" fontId="0" fillId="2" borderId="16"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0" fillId="5" borderId="14" xfId="0" applyFill="1" applyBorder="1" applyAlignment="1">
      <alignment horizontal="center" vertical="center"/>
    </xf>
    <xf numFmtId="0" fontId="0" fillId="6" borderId="16" xfId="0" applyFill="1" applyBorder="1" applyAlignment="1">
      <alignment horizontal="center" vertical="center" wrapText="1"/>
    </xf>
    <xf numFmtId="0" fontId="11" fillId="0" borderId="1" xfId="0" applyFont="1" applyBorder="1" applyAlignment="1">
      <alignment horizontal="center"/>
    </xf>
    <xf numFmtId="0" fontId="11" fillId="0" borderId="0" xfId="0" applyFont="1" applyBorder="1" applyAlignment="1">
      <alignment horizontal="center"/>
    </xf>
    <xf numFmtId="0" fontId="11" fillId="0" borderId="5" xfId="0" applyFont="1" applyBorder="1" applyAlignment="1">
      <alignment horizontal="center"/>
    </xf>
    <xf numFmtId="0" fontId="15" fillId="2" borderId="16" xfId="0" applyFont="1" applyFill="1" applyBorder="1" applyAlignment="1">
      <alignment horizontal="center" wrapText="1"/>
    </xf>
    <xf numFmtId="0" fontId="1" fillId="2" borderId="0" xfId="0" applyFont="1" applyFill="1" applyAlignment="1">
      <alignment horizontal="left"/>
    </xf>
    <xf numFmtId="0" fontId="0" fillId="5" borderId="16" xfId="0" applyFill="1" applyBorder="1" applyAlignment="1">
      <alignment horizontal="center" vertical="center"/>
    </xf>
    <xf numFmtId="0" fontId="0" fillId="5" borderId="16" xfId="0" applyFill="1" applyBorder="1" applyAlignment="1">
      <alignment horizontal="center" vertical="center" wrapText="1"/>
    </xf>
    <xf numFmtId="0" fontId="1" fillId="0" borderId="0" xfId="0" applyFont="1" applyAlignment="1">
      <alignment horizontal="center"/>
    </xf>
    <xf numFmtId="0" fontId="0" fillId="7" borderId="15"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5" xfId="0" applyFill="1" applyBorder="1" applyAlignment="1">
      <alignment horizontal="center" vertical="center" wrapText="1"/>
    </xf>
    <xf numFmtId="0" fontId="11" fillId="0" borderId="1" xfId="0" applyFont="1" applyFill="1" applyBorder="1" applyAlignment="1">
      <alignment horizontal="center" wrapText="1"/>
    </xf>
    <xf numFmtId="0" fontId="11" fillId="0" borderId="0" xfId="0" applyFont="1" applyFill="1" applyBorder="1" applyAlignment="1">
      <alignment horizontal="center" wrapText="1"/>
    </xf>
    <xf numFmtId="0" fontId="8" fillId="0" borderId="18" xfId="0" applyFont="1" applyBorder="1" applyAlignment="1">
      <alignment horizontal="center"/>
    </xf>
    <xf numFmtId="0" fontId="13" fillId="0" borderId="0" xfId="0" applyFont="1" applyFill="1" applyAlignment="1">
      <alignment horizontal="left" vertical="top" wrapText="1"/>
    </xf>
    <xf numFmtId="0" fontId="1" fillId="5" borderId="16" xfId="0" applyFont="1" applyFill="1" applyBorder="1" applyAlignment="1">
      <alignment horizontal="center" vertical="center"/>
    </xf>
    <xf numFmtId="0" fontId="1" fillId="6" borderId="16" xfId="0" applyFont="1" applyFill="1" applyBorder="1" applyAlignment="1">
      <alignment horizontal="center" vertical="center"/>
    </xf>
    <xf numFmtId="0" fontId="11" fillId="0" borderId="4" xfId="0" applyFont="1" applyBorder="1" applyAlignment="1">
      <alignment horizontal="center"/>
    </xf>
    <xf numFmtId="0" fontId="11" fillId="0" borderId="2" xfId="0" applyFont="1" applyBorder="1" applyAlignment="1">
      <alignment horizontal="center"/>
    </xf>
    <xf numFmtId="0" fontId="8" fillId="0" borderId="22" xfId="0" applyFont="1" applyBorder="1" applyAlignment="1">
      <alignment horizontal="center"/>
    </xf>
    <xf numFmtId="0" fontId="0" fillId="0" borderId="0" xfId="0" applyAlignment="1">
      <alignment horizontal="left" wrapText="1"/>
    </xf>
    <xf numFmtId="0" fontId="1" fillId="2" borderId="0" xfId="0" applyFont="1" applyFill="1" applyAlignment="1">
      <alignment horizontal="center"/>
    </xf>
    <xf numFmtId="0" fontId="1" fillId="5" borderId="0" xfId="0" applyFont="1"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xf>
    <xf numFmtId="0" fontId="6" fillId="0" borderId="0" xfId="0" applyFont="1" applyFill="1" applyBorder="1" applyAlignment="1">
      <alignment horizontal="center" wrapText="1"/>
    </xf>
    <xf numFmtId="0" fontId="9" fillId="0" borderId="0" xfId="0" applyFont="1" applyAlignment="1">
      <alignment vertical="top" wrapText="1"/>
    </xf>
    <xf numFmtId="0" fontId="9" fillId="0" borderId="0" xfId="0" applyFont="1" applyAlignment="1">
      <alignment horizontal="center" vertical="top" wrapText="1"/>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omaya Abdelgany" id="{DC0BECBD-3907-46EF-85B2-03EEE48EFC13}" userId="S::sabdelgany@bayareametro.gov::e7d292bc-975c-4398-a2f0-3aab7bcd145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9" dT="2021-06-23T16:44:54.50" personId="{DC0BECBD-3907-46EF-85B2-03EEE48EFC13}" id="{D5A3B649-3345-4107-8F32-1E6113F83B49}">
    <text>This is confusing to me. Is this indicating that there is  missing data? Plain language would be helpful</text>
  </threadedComment>
  <threadedComment ref="H14" dT="2021-06-23T16:49:10.89" personId="{DC0BECBD-3907-46EF-85B2-03EEE48EFC13}" id="{E37706BB-3572-4824-9A3F-30DC567A82DE}">
    <text>As a houser that is not familar with exposure data, I don't know what these categorizations mean or which is more/less severe. I think some definitions for non-resilience experts either here or on the FEMA Flood Zones tab would be helpful.</text>
  </threadedComment>
  <threadedComment ref="M14" dT="2021-06-23T16:50:17.78" personId="{DC0BECBD-3907-46EF-85B2-03EEE48EFC13}" id="{0764621A-AA39-41C2-9B0A-F81AFF914624}">
    <text>Similar comment here - I don't actually know what these heights are referring to and which is most severe. Category definitions either here or on the Sea Level Rise tab would be helpful</text>
  </threadedComment>
  <threadedComment ref="B20" dT="2021-06-23T16:46:47.39" personId="{DC0BECBD-3907-46EF-85B2-03EEE48EFC13}" id="{CF7AF73B-4EAE-4760-A425-7A7D8866E1EA}">
    <text>I think the way you describe this on the Fire Hazard Severity Zones tab is more clear than this description (ie. High and Moderate are only reported for Unincorporated Counties, with some exceptions)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1-06-23T16:52:29.08" personId="{DC0BECBD-3907-46EF-85B2-03EEE48EFC13}" id="{720AA08F-49D7-4CB5-95E8-6C82CBEA7C0D}">
    <text>What does it mean for a parcel to "transcend jurisdiction boundaries"? Does that mean that the parcel straddles the jurisdiction and unincirporated county line? I would clarify</text>
  </threadedComment>
</ThreadedComments>
</file>

<file path=xl/threadedComments/threadedComment3.xml><?xml version="1.0" encoding="utf-8"?>
<ThreadedComments xmlns="http://schemas.microsoft.com/office/spreadsheetml/2018/threadedcomments" xmlns:x="http://schemas.openxmlformats.org/spreadsheetml/2006/main">
  <threadedComment ref="A3" dT="2021-06-23T16:55:38.58" personId="{DC0BECBD-3907-46EF-85B2-03EEE48EFC13}" id="{4425B303-58D6-41B9-A278-F78B2242E4DB}">
    <text>Spell out ART and NOAA acronyms the first time? Also just FYI I corrected a couple of typos in this cell</text>
  </threadedComment>
</ThreadedComments>
</file>

<file path=xl/threadedComments/threadedComment4.xml><?xml version="1.0" encoding="utf-8"?>
<ThreadedComments xmlns="http://schemas.microsoft.com/office/spreadsheetml/2018/threadedcomments" xmlns:x="http://schemas.openxmlformats.org/spreadsheetml/2006/main">
  <threadedComment ref="B2" dT="2021-06-23T16:56:44.33" personId="{DC0BECBD-3907-46EF-85B2-03EEE48EFC13}" id="{256AE93C-A06F-43C2-9D45-D89088E0565F}">
    <text>I like this as the first tab and may adding "README" to the sheet name just so folks start with the context</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hartofelis@bayareametro.gov" TargetMode="External"/><Relationship Id="rId5" Type="http://schemas.microsoft.com/office/2017/10/relationships/threadedComment" Target="../threadedComments/threadedComment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D1567-076A-4A70-AC6B-C8D1F7C3AB2B}">
  <sheetPr>
    <tabColor theme="9" tint="0.79998168889431442"/>
  </sheetPr>
  <dimension ref="B2:L21"/>
  <sheetViews>
    <sheetView workbookViewId="0">
      <selection activeCell="K9" sqref="K9"/>
    </sheetView>
  </sheetViews>
  <sheetFormatPr defaultRowHeight="15" x14ac:dyDescent="0.25"/>
  <sheetData>
    <row r="2" spans="2:12" ht="18.75" x14ac:dyDescent="0.3">
      <c r="B2" s="64" t="s">
        <v>303</v>
      </c>
    </row>
    <row r="3" spans="2:12" x14ac:dyDescent="0.25">
      <c r="B3" s="178" t="s">
        <v>323</v>
      </c>
    </row>
    <row r="6" spans="2:12" ht="93" customHeight="1" x14ac:dyDescent="0.25">
      <c r="B6" s="231" t="s">
        <v>335</v>
      </c>
      <c r="C6" s="231"/>
      <c r="D6" s="231"/>
      <c r="E6" s="231"/>
      <c r="F6" s="231"/>
      <c r="G6" s="231"/>
      <c r="H6" s="231"/>
      <c r="I6" s="231"/>
      <c r="J6" s="231"/>
      <c r="K6" s="231"/>
      <c r="L6" s="231"/>
    </row>
    <row r="7" spans="2:12" x14ac:dyDescent="0.25">
      <c r="B7" s="179" t="s">
        <v>324</v>
      </c>
      <c r="C7" s="179"/>
      <c r="D7" s="179"/>
      <c r="E7" s="179"/>
      <c r="F7" s="179"/>
      <c r="G7" s="179"/>
      <c r="H7" s="179"/>
      <c r="I7" s="179"/>
      <c r="J7" s="179"/>
      <c r="K7" s="179"/>
    </row>
    <row r="8" spans="2:12" ht="73.5" customHeight="1" x14ac:dyDescent="0.25">
      <c r="B8" s="231" t="s">
        <v>325</v>
      </c>
      <c r="C8" s="231"/>
      <c r="D8" s="231"/>
      <c r="E8" s="231"/>
      <c r="F8" s="231"/>
      <c r="G8" s="231"/>
      <c r="H8" s="231"/>
      <c r="I8" s="231"/>
      <c r="J8" s="231"/>
      <c r="K8" s="231"/>
      <c r="L8" s="231"/>
    </row>
    <row r="9" spans="2:12" x14ac:dyDescent="0.25">
      <c r="B9" s="10" t="s">
        <v>330</v>
      </c>
      <c r="K9" t="s">
        <v>324</v>
      </c>
    </row>
    <row r="10" spans="2:12" x14ac:dyDescent="0.25">
      <c r="B10" s="181" t="s">
        <v>329</v>
      </c>
      <c r="F10" s="182" t="s">
        <v>329</v>
      </c>
    </row>
    <row r="11" spans="2:12" x14ac:dyDescent="0.25">
      <c r="B11" s="181" t="s">
        <v>328</v>
      </c>
      <c r="F11" s="182" t="s">
        <v>331</v>
      </c>
    </row>
    <row r="12" spans="2:12" x14ac:dyDescent="0.25">
      <c r="B12" s="181" t="s">
        <v>336</v>
      </c>
      <c r="F12" s="182" t="s">
        <v>357</v>
      </c>
    </row>
    <row r="13" spans="2:12" x14ac:dyDescent="0.25">
      <c r="B13" s="181" t="s">
        <v>268</v>
      </c>
      <c r="F13" s="182" t="s">
        <v>333</v>
      </c>
    </row>
    <row r="14" spans="2:12" x14ac:dyDescent="0.25">
      <c r="B14" s="181" t="s">
        <v>267</v>
      </c>
      <c r="F14" s="182" t="s">
        <v>332</v>
      </c>
    </row>
    <row r="15" spans="2:12" x14ac:dyDescent="0.25">
      <c r="B15" s="181" t="s">
        <v>347</v>
      </c>
      <c r="F15" s="182" t="s">
        <v>334</v>
      </c>
    </row>
    <row r="19" spans="2:2" x14ac:dyDescent="0.25">
      <c r="B19" s="10" t="s">
        <v>319</v>
      </c>
    </row>
    <row r="20" spans="2:2" x14ac:dyDescent="0.25">
      <c r="B20" t="s">
        <v>326</v>
      </c>
    </row>
    <row r="21" spans="2:2" x14ac:dyDescent="0.25">
      <c r="B21" s="180" t="s">
        <v>327</v>
      </c>
    </row>
  </sheetData>
  <mergeCells count="2">
    <mergeCell ref="B6:L6"/>
    <mergeCell ref="B8:L8"/>
  </mergeCells>
  <hyperlinks>
    <hyperlink ref="B21" r:id="rId1" xr:uid="{CD86642A-0147-453B-A800-1609E49A7A4A}"/>
  </hyperlink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3C9A-82BF-4132-BDD2-CE1AC7796734}">
  <sheetPr>
    <tabColor theme="4" tint="0.79998168889431442"/>
  </sheetPr>
  <dimension ref="A1:AR118"/>
  <sheetViews>
    <sheetView showGridLines="0" zoomScale="80" zoomScaleNormal="80" workbookViewId="0">
      <selection activeCell="AR8" sqref="AR8:AR9"/>
    </sheetView>
  </sheetViews>
  <sheetFormatPr defaultRowHeight="15" x14ac:dyDescent="0.25"/>
  <cols>
    <col min="1" max="1" width="12.85546875" customWidth="1"/>
    <col min="2" max="2" width="24.28515625" customWidth="1"/>
    <col min="3" max="23" width="6.7109375" customWidth="1"/>
    <col min="24" max="41" width="6.42578125" customWidth="1"/>
    <col min="42" max="42" width="10.42578125" customWidth="1"/>
  </cols>
  <sheetData>
    <row r="1" spans="1:44" ht="30" customHeight="1" x14ac:dyDescent="0.25">
      <c r="A1" s="122" t="s">
        <v>347</v>
      </c>
      <c r="L1" s="119"/>
      <c r="M1" s="2"/>
      <c r="Q1" s="274"/>
      <c r="R1" s="274"/>
      <c r="S1" s="274"/>
      <c r="T1" s="274"/>
      <c r="U1" s="274"/>
      <c r="V1" s="274"/>
      <c r="W1" s="274"/>
      <c r="X1" s="274"/>
      <c r="Y1" s="274"/>
      <c r="Z1" s="274"/>
      <c r="AA1" s="274"/>
      <c r="AB1" s="274"/>
    </row>
    <row r="2" spans="1:44" ht="53.25" customHeight="1" x14ac:dyDescent="0.25">
      <c r="A2" s="244" t="s">
        <v>315</v>
      </c>
      <c r="B2" s="244"/>
      <c r="C2" s="244"/>
      <c r="D2" s="244"/>
      <c r="E2" s="244"/>
      <c r="F2" s="244"/>
      <c r="G2" s="244"/>
      <c r="H2" s="244"/>
      <c r="I2" s="244"/>
      <c r="J2" s="244"/>
      <c r="K2" s="244"/>
      <c r="L2" s="244"/>
      <c r="M2" s="244"/>
      <c r="N2" s="244"/>
      <c r="Q2" s="280" t="s">
        <v>301</v>
      </c>
      <c r="R2" s="280"/>
      <c r="S2" s="280"/>
      <c r="T2" s="280"/>
      <c r="U2" s="280"/>
      <c r="V2" s="280"/>
      <c r="W2" s="280"/>
      <c r="X2" s="280"/>
      <c r="Y2" s="213"/>
      <c r="Z2" s="213"/>
      <c r="AA2" s="213"/>
      <c r="AB2" s="213"/>
    </row>
    <row r="3" spans="1:44" ht="36.75" customHeight="1" x14ac:dyDescent="0.25">
      <c r="A3" s="275" t="s">
        <v>358</v>
      </c>
      <c r="B3" s="275"/>
      <c r="C3" s="275"/>
      <c r="D3" s="275"/>
      <c r="E3" s="275"/>
      <c r="F3" s="275"/>
      <c r="G3" s="275"/>
      <c r="H3" s="275"/>
      <c r="I3" s="275"/>
      <c r="J3" s="275"/>
      <c r="K3" s="275"/>
      <c r="L3" s="275"/>
      <c r="M3" s="275"/>
      <c r="N3" s="275"/>
      <c r="P3" s="158" t="s">
        <v>136</v>
      </c>
      <c r="Q3" s="156">
        <v>1</v>
      </c>
      <c r="R3" s="156">
        <v>2</v>
      </c>
      <c r="S3" s="156">
        <v>3</v>
      </c>
      <c r="T3" s="156">
        <v>4</v>
      </c>
      <c r="U3" s="156">
        <v>5</v>
      </c>
      <c r="V3" s="156">
        <v>6</v>
      </c>
      <c r="W3" s="156">
        <v>7</v>
      </c>
      <c r="X3" s="156">
        <v>8</v>
      </c>
      <c r="Y3" s="156">
        <v>9</v>
      </c>
      <c r="Z3" s="212"/>
    </row>
    <row r="4" spans="1:44" ht="41.25" customHeight="1" x14ac:dyDescent="0.25">
      <c r="A4" s="275"/>
      <c r="B4" s="275"/>
      <c r="C4" s="275"/>
      <c r="D4" s="275"/>
      <c r="E4" s="275"/>
      <c r="F4" s="275"/>
      <c r="G4" s="275"/>
      <c r="H4" s="275"/>
      <c r="I4" s="275"/>
      <c r="J4" s="275"/>
      <c r="K4" s="275"/>
      <c r="L4" s="275"/>
      <c r="M4" s="275"/>
      <c r="N4" s="275"/>
      <c r="P4" s="158" t="s">
        <v>298</v>
      </c>
      <c r="Q4" s="156">
        <v>1</v>
      </c>
      <c r="R4" s="156">
        <v>2</v>
      </c>
      <c r="S4" s="156">
        <v>3</v>
      </c>
      <c r="T4" s="156">
        <v>4</v>
      </c>
      <c r="U4" s="156">
        <v>5.5</v>
      </c>
      <c r="V4" s="156">
        <v>6.4</v>
      </c>
      <c r="W4" s="156">
        <v>7</v>
      </c>
      <c r="X4" s="156">
        <v>8</v>
      </c>
      <c r="Y4" s="156">
        <v>9</v>
      </c>
      <c r="Z4" s="212"/>
    </row>
    <row r="5" spans="1:44" ht="74.25" customHeight="1" x14ac:dyDescent="0.25">
      <c r="A5" s="275"/>
      <c r="B5" s="275"/>
      <c r="C5" s="275"/>
      <c r="D5" s="275"/>
      <c r="E5" s="275"/>
      <c r="F5" s="275"/>
      <c r="G5" s="275"/>
      <c r="H5" s="275"/>
      <c r="I5" s="275"/>
      <c r="J5" s="275"/>
      <c r="K5" s="275"/>
      <c r="L5" s="275"/>
      <c r="M5" s="275"/>
      <c r="N5" s="275"/>
      <c r="P5" s="158" t="s">
        <v>299</v>
      </c>
      <c r="Q5" s="156">
        <v>1</v>
      </c>
      <c r="R5" s="156">
        <v>2</v>
      </c>
      <c r="S5" s="156">
        <v>3</v>
      </c>
      <c r="T5" s="156">
        <v>4</v>
      </c>
      <c r="U5" s="157"/>
      <c r="V5" s="157"/>
      <c r="W5" s="156">
        <v>6.9</v>
      </c>
      <c r="X5" s="157"/>
      <c r="Y5" s="157"/>
      <c r="Z5" s="212"/>
      <c r="AQ5" s="2"/>
      <c r="AR5" s="2"/>
    </row>
    <row r="6" spans="1:44" ht="15" customHeight="1" x14ac:dyDescent="0.25">
      <c r="B6" s="21"/>
      <c r="L6" s="2"/>
      <c r="M6" s="2"/>
      <c r="O6" s="120"/>
      <c r="P6" s="120"/>
      <c r="Q6" s="120"/>
      <c r="R6" s="120"/>
      <c r="S6" s="120"/>
      <c r="T6" s="120"/>
      <c r="U6" s="120"/>
      <c r="V6" s="120"/>
      <c r="W6" s="120"/>
      <c r="X6" s="120"/>
      <c r="Y6" s="120"/>
      <c r="AQ6" s="2"/>
      <c r="AR6" s="13"/>
    </row>
    <row r="7" spans="1:44" ht="18" customHeight="1" x14ac:dyDescent="0.3">
      <c r="A7" s="64" t="s">
        <v>194</v>
      </c>
      <c r="C7" s="278" t="s">
        <v>300</v>
      </c>
      <c r="D7" s="279"/>
      <c r="E7" s="279"/>
      <c r="F7" s="279"/>
      <c r="G7" s="279"/>
      <c r="H7" s="279"/>
      <c r="I7" s="279"/>
      <c r="J7" s="279"/>
      <c r="K7" s="279"/>
      <c r="L7" s="279"/>
      <c r="M7" s="279"/>
      <c r="N7" s="279"/>
      <c r="O7" s="279"/>
      <c r="P7" s="279"/>
      <c r="Q7" s="279"/>
      <c r="R7" s="279"/>
      <c r="S7" s="279"/>
      <c r="T7" s="279"/>
      <c r="U7" s="279"/>
      <c r="V7" s="187"/>
      <c r="W7" s="187"/>
      <c r="X7" s="260" t="s">
        <v>290</v>
      </c>
      <c r="Y7" s="261"/>
      <c r="Z7" s="261"/>
      <c r="AA7" s="261"/>
      <c r="AB7" s="261"/>
      <c r="AC7" s="261"/>
      <c r="AD7" s="261"/>
      <c r="AE7" s="261"/>
      <c r="AF7" s="261"/>
      <c r="AG7" s="261"/>
      <c r="AH7" s="261"/>
      <c r="AI7" s="261"/>
      <c r="AJ7" s="261"/>
      <c r="AK7" s="261"/>
      <c r="AL7" s="261"/>
      <c r="AM7" s="261"/>
      <c r="AN7" s="261"/>
      <c r="AO7" s="261"/>
      <c r="AP7" s="261"/>
      <c r="AQ7" s="272" t="s">
        <v>294</v>
      </c>
      <c r="AR7" s="273"/>
    </row>
    <row r="8" spans="1:44" ht="60.75" customHeight="1" x14ac:dyDescent="0.25">
      <c r="A8" s="5"/>
      <c r="B8" s="5"/>
      <c r="C8" s="276" t="s">
        <v>153</v>
      </c>
      <c r="D8" s="276"/>
      <c r="E8" s="276" t="s">
        <v>154</v>
      </c>
      <c r="F8" s="276"/>
      <c r="G8" s="276" t="s">
        <v>155</v>
      </c>
      <c r="H8" s="276"/>
      <c r="I8" s="276" t="s">
        <v>156</v>
      </c>
      <c r="J8" s="276"/>
      <c r="K8" s="276" t="s">
        <v>157</v>
      </c>
      <c r="L8" s="276"/>
      <c r="M8" s="276" t="s">
        <v>158</v>
      </c>
      <c r="N8" s="276"/>
      <c r="O8" s="276" t="s">
        <v>159</v>
      </c>
      <c r="P8" s="276"/>
      <c r="Q8" s="276" t="s">
        <v>160</v>
      </c>
      <c r="R8" s="276"/>
      <c r="S8" s="276" t="s">
        <v>161</v>
      </c>
      <c r="T8" s="276"/>
      <c r="U8" s="219" t="s">
        <v>359</v>
      </c>
      <c r="V8" s="254" t="s">
        <v>289</v>
      </c>
      <c r="W8" s="255"/>
      <c r="X8" s="277" t="s">
        <v>153</v>
      </c>
      <c r="Y8" s="277"/>
      <c r="Z8" s="277" t="s">
        <v>154</v>
      </c>
      <c r="AA8" s="277"/>
      <c r="AB8" s="277" t="s">
        <v>155</v>
      </c>
      <c r="AC8" s="277"/>
      <c r="AD8" s="277" t="s">
        <v>156</v>
      </c>
      <c r="AE8" s="277"/>
      <c r="AF8" s="277" t="s">
        <v>157</v>
      </c>
      <c r="AG8" s="277"/>
      <c r="AH8" s="277" t="s">
        <v>158</v>
      </c>
      <c r="AI8" s="277"/>
      <c r="AJ8" s="277" t="s">
        <v>159</v>
      </c>
      <c r="AK8" s="277"/>
      <c r="AL8" s="277" t="s">
        <v>160</v>
      </c>
      <c r="AM8" s="277"/>
      <c r="AN8" s="277" t="s">
        <v>161</v>
      </c>
      <c r="AO8" s="277"/>
      <c r="AP8" s="217" t="s">
        <v>359</v>
      </c>
      <c r="AQ8" s="268" t="s">
        <v>8</v>
      </c>
      <c r="AR8" s="270" t="s">
        <v>9</v>
      </c>
    </row>
    <row r="9" spans="1:44" ht="42" customHeight="1" x14ac:dyDescent="0.25">
      <c r="A9" s="155" t="s">
        <v>10</v>
      </c>
      <c r="B9" s="155" t="s">
        <v>127</v>
      </c>
      <c r="C9" s="139" t="s">
        <v>12</v>
      </c>
      <c r="D9" s="139" t="s">
        <v>13</v>
      </c>
      <c r="E9" s="139" t="s">
        <v>12</v>
      </c>
      <c r="F9" s="139" t="s">
        <v>13</v>
      </c>
      <c r="G9" s="139" t="s">
        <v>12</v>
      </c>
      <c r="H9" s="139" t="s">
        <v>13</v>
      </c>
      <c r="I9" s="139" t="s">
        <v>12</v>
      </c>
      <c r="J9" s="139" t="s">
        <v>13</v>
      </c>
      <c r="K9" s="139" t="s">
        <v>12</v>
      </c>
      <c r="L9" s="139" t="s">
        <v>13</v>
      </c>
      <c r="M9" s="139" t="s">
        <v>12</v>
      </c>
      <c r="N9" s="139" t="s">
        <v>13</v>
      </c>
      <c r="O9" s="139" t="s">
        <v>12</v>
      </c>
      <c r="P9" s="139" t="s">
        <v>13</v>
      </c>
      <c r="Q9" s="139" t="s">
        <v>12</v>
      </c>
      <c r="R9" s="139" t="s">
        <v>13</v>
      </c>
      <c r="S9" s="139" t="s">
        <v>12</v>
      </c>
      <c r="T9" s="139" t="s">
        <v>13</v>
      </c>
      <c r="U9" s="219" t="s">
        <v>293</v>
      </c>
      <c r="V9" s="135" t="s">
        <v>12</v>
      </c>
      <c r="W9" s="135" t="s">
        <v>13</v>
      </c>
      <c r="X9" s="133" t="s">
        <v>12</v>
      </c>
      <c r="Y9" s="133" t="s">
        <v>13</v>
      </c>
      <c r="Z9" s="133" t="s">
        <v>12</v>
      </c>
      <c r="AA9" s="133" t="s">
        <v>13</v>
      </c>
      <c r="AB9" s="133" t="s">
        <v>12</v>
      </c>
      <c r="AC9" s="133" t="s">
        <v>13</v>
      </c>
      <c r="AD9" s="133" t="s">
        <v>12</v>
      </c>
      <c r="AE9" s="133" t="s">
        <v>13</v>
      </c>
      <c r="AF9" s="133" t="s">
        <v>12</v>
      </c>
      <c r="AG9" s="133" t="s">
        <v>13</v>
      </c>
      <c r="AH9" s="133" t="s">
        <v>12</v>
      </c>
      <c r="AI9" s="133" t="s">
        <v>13</v>
      </c>
      <c r="AJ9" s="133" t="s">
        <v>12</v>
      </c>
      <c r="AK9" s="133" t="s">
        <v>13</v>
      </c>
      <c r="AL9" s="133" t="s">
        <v>12</v>
      </c>
      <c r="AM9" s="133" t="s">
        <v>13</v>
      </c>
      <c r="AN9" s="133" t="s">
        <v>12</v>
      </c>
      <c r="AO9" s="133" t="s">
        <v>13</v>
      </c>
      <c r="AP9" s="218" t="s">
        <v>296</v>
      </c>
      <c r="AQ9" s="269"/>
      <c r="AR9" s="271"/>
    </row>
    <row r="10" spans="1:44" x14ac:dyDescent="0.25">
      <c r="A10" s="3" t="s">
        <v>16</v>
      </c>
      <c r="B10" s="3" t="s">
        <v>16</v>
      </c>
      <c r="C10" s="67">
        <f>'SLR Raw'!C12</f>
        <v>14</v>
      </c>
      <c r="D10" s="67">
        <f>'SLR Raw'!D12</f>
        <v>6</v>
      </c>
      <c r="E10" s="67">
        <f>'SLR Raw'!E12</f>
        <v>18</v>
      </c>
      <c r="F10" s="67">
        <f>'SLR Raw'!F12</f>
        <v>8</v>
      </c>
      <c r="G10" s="67">
        <f>'SLR Raw'!G12</f>
        <v>608</v>
      </c>
      <c r="H10" s="67">
        <f>'SLR Raw'!H12</f>
        <v>85</v>
      </c>
      <c r="I10" s="67">
        <f>'SLR Raw'!I12</f>
        <v>1848</v>
      </c>
      <c r="J10" s="67">
        <f>'SLR Raw'!J12</f>
        <v>181</v>
      </c>
      <c r="K10" s="67">
        <f>'SLR Raw'!M12</f>
        <v>4592</v>
      </c>
      <c r="L10" s="67">
        <f>'SLR Raw'!N12</f>
        <v>321</v>
      </c>
      <c r="M10" s="67">
        <f>'SLR Raw'!O12</f>
        <v>5778</v>
      </c>
      <c r="N10" s="67">
        <f>'SLR Raw'!P12</f>
        <v>445</v>
      </c>
      <c r="O10" s="67">
        <f>'SLR Raw'!Q12</f>
        <v>6523</v>
      </c>
      <c r="P10" s="67">
        <f>'SLR Raw'!R12</f>
        <v>532</v>
      </c>
      <c r="Q10" s="67">
        <f>'SLR Raw'!S12</f>
        <v>7668</v>
      </c>
      <c r="R10" s="67">
        <f>'SLR Raw'!T12</f>
        <v>693</v>
      </c>
      <c r="S10" s="67">
        <f>'SLR Raw'!U12</f>
        <v>8646</v>
      </c>
      <c r="T10" s="67">
        <f>'SLR Raw'!V12</f>
        <v>821</v>
      </c>
      <c r="U10" s="220">
        <f>SUM(S10:T10)</f>
        <v>9467</v>
      </c>
      <c r="V10" s="12">
        <v>14144</v>
      </c>
      <c r="W10" s="214">
        <v>3329</v>
      </c>
      <c r="X10" s="74">
        <f>C10/'FEMA Flood Zones'!$J8</f>
        <v>9.8981900452488683E-4</v>
      </c>
      <c r="Y10" s="74">
        <f>D10/'FEMA Flood Zones'!$K8</f>
        <v>1.8023430459597476E-3</v>
      </c>
      <c r="Z10" s="72">
        <f>E10/'FEMA Flood Zones'!$J8</f>
        <v>1.2726244343891403E-3</v>
      </c>
      <c r="AA10" s="72">
        <f>F10/'FEMA Flood Zones'!$K8</f>
        <v>2.4031240612796636E-3</v>
      </c>
      <c r="AB10" s="72">
        <f>G10/'FEMA Flood Zones'!$J8</f>
        <v>4.2986425339366516E-2</v>
      </c>
      <c r="AC10" s="72">
        <f>H10/'FEMA Flood Zones'!$K8</f>
        <v>2.5533193151096426E-2</v>
      </c>
      <c r="AD10" s="72">
        <f>I10/'FEMA Flood Zones'!$J8</f>
        <v>0.13065610859728508</v>
      </c>
      <c r="AE10" s="72">
        <f>J10/'FEMA Flood Zones'!$K8</f>
        <v>5.4370681886452388E-2</v>
      </c>
      <c r="AF10" s="72">
        <f>K10/'FEMA Flood Zones'!$J8</f>
        <v>0.32466063348416291</v>
      </c>
      <c r="AG10" s="72">
        <f>L10/'FEMA Flood Zones'!$K8</f>
        <v>9.6425352958846494E-2</v>
      </c>
      <c r="AH10" s="72">
        <f>M10/'FEMA Flood Zones'!$J8</f>
        <v>0.40851244343891402</v>
      </c>
      <c r="AI10" s="72">
        <f>N10/'FEMA Flood Zones'!$K8</f>
        <v>0.13367377590868129</v>
      </c>
      <c r="AJ10" s="72">
        <f>O10/'FEMA Flood Zones'!$J8</f>
        <v>0.46118495475113125</v>
      </c>
      <c r="AK10" s="72">
        <f>P10/'FEMA Flood Zones'!$K8</f>
        <v>0.15980775007509762</v>
      </c>
      <c r="AL10" s="72">
        <f>Q10/'FEMA Flood Zones'!$J8</f>
        <v>0.54213800904977372</v>
      </c>
      <c r="AM10" s="72">
        <f>R10/'FEMA Flood Zones'!$K8</f>
        <v>0.20817062180835086</v>
      </c>
      <c r="AN10" s="72">
        <f>S10/'FEMA Flood Zones'!$J8</f>
        <v>0.61128393665158376</v>
      </c>
      <c r="AO10" s="72">
        <f>T10/'FEMA Flood Zones'!$K8</f>
        <v>0.24662060678882547</v>
      </c>
      <c r="AP10" s="223">
        <f>U10/(V10+W10)</f>
        <v>0.54180735992674411</v>
      </c>
      <c r="AQ10" s="4">
        <f t="shared" ref="AQ10:AQ41" si="0">RANK(S10,$S$10:$S$118,0)</f>
        <v>1</v>
      </c>
      <c r="AR10" s="210">
        <f>RANK(AN10,$AN$10:$AN$118,0)</f>
        <v>3</v>
      </c>
    </row>
    <row r="11" spans="1:44" x14ac:dyDescent="0.25">
      <c r="A11" s="2" t="s">
        <v>16</v>
      </c>
      <c r="B11" s="2" t="s">
        <v>17</v>
      </c>
      <c r="C11" s="68">
        <f>'SLR Raw'!C13</f>
        <v>0</v>
      </c>
      <c r="D11" s="68">
        <f>'SLR Raw'!D13</f>
        <v>0</v>
      </c>
      <c r="E11" s="68">
        <f>'SLR Raw'!E13</f>
        <v>0</v>
      </c>
      <c r="F11" s="68">
        <f>'SLR Raw'!F13</f>
        <v>0</v>
      </c>
      <c r="G11" s="68">
        <f>'SLR Raw'!G13</f>
        <v>0</v>
      </c>
      <c r="H11" s="68">
        <f>'SLR Raw'!H13</f>
        <v>0</v>
      </c>
      <c r="I11" s="68">
        <f>'SLR Raw'!I13</f>
        <v>0</v>
      </c>
      <c r="J11" s="68">
        <f>'SLR Raw'!J13</f>
        <v>0</v>
      </c>
      <c r="K11" s="68">
        <f>'SLR Raw'!M13</f>
        <v>0</v>
      </c>
      <c r="L11" s="68">
        <f>'SLR Raw'!N13</f>
        <v>0</v>
      </c>
      <c r="M11" s="68">
        <f>'SLR Raw'!O13</f>
        <v>0</v>
      </c>
      <c r="N11" s="68">
        <f>'SLR Raw'!P13</f>
        <v>0</v>
      </c>
      <c r="O11" s="68">
        <f>'SLR Raw'!Q13</f>
        <v>0</v>
      </c>
      <c r="P11" s="68">
        <f>'SLR Raw'!R13</f>
        <v>0</v>
      </c>
      <c r="Q11" s="68">
        <f>'SLR Raw'!S13</f>
        <v>0</v>
      </c>
      <c r="R11" s="68">
        <f>'SLR Raw'!T13</f>
        <v>0</v>
      </c>
      <c r="S11" s="68">
        <f>'SLR Raw'!U13</f>
        <v>0</v>
      </c>
      <c r="T11" s="68">
        <f>'SLR Raw'!V13</f>
        <v>0</v>
      </c>
      <c r="U11" s="221">
        <f t="shared" ref="U11:U74" si="1">SUM(S11:T11)</f>
        <v>0</v>
      </c>
      <c r="V11" s="12">
        <v>3634</v>
      </c>
      <c r="W11" s="215">
        <v>480</v>
      </c>
      <c r="X11" s="74">
        <f>C11/'FEMA Flood Zones'!$J9</f>
        <v>0</v>
      </c>
      <c r="Y11" s="74">
        <f>D11/'FEMA Flood Zones'!$K9</f>
        <v>0</v>
      </c>
      <c r="Z11" s="72">
        <f>E11/'FEMA Flood Zones'!$J9</f>
        <v>0</v>
      </c>
      <c r="AA11" s="72">
        <f>F11/'FEMA Flood Zones'!$K9</f>
        <v>0</v>
      </c>
      <c r="AB11" s="72">
        <f>G11/'FEMA Flood Zones'!$J9</f>
        <v>0</v>
      </c>
      <c r="AC11" s="72">
        <f>H11/'FEMA Flood Zones'!$K9</f>
        <v>0</v>
      </c>
      <c r="AD11" s="72">
        <f>I11/'FEMA Flood Zones'!$J9</f>
        <v>0</v>
      </c>
      <c r="AE11" s="72">
        <f>J11/'FEMA Flood Zones'!$K9</f>
        <v>0</v>
      </c>
      <c r="AF11" s="72">
        <f>K11/'FEMA Flood Zones'!$J9</f>
        <v>0</v>
      </c>
      <c r="AG11" s="72">
        <f>L11/'FEMA Flood Zones'!$K9</f>
        <v>0</v>
      </c>
      <c r="AH11" s="72">
        <f>M11/'FEMA Flood Zones'!$J9</f>
        <v>0</v>
      </c>
      <c r="AI11" s="72">
        <f>N11/'FEMA Flood Zones'!$K9</f>
        <v>0</v>
      </c>
      <c r="AJ11" s="72">
        <f>O11/'FEMA Flood Zones'!$J9</f>
        <v>0</v>
      </c>
      <c r="AK11" s="72">
        <f>P11/'FEMA Flood Zones'!$K9</f>
        <v>0</v>
      </c>
      <c r="AL11" s="72">
        <f>Q11/'FEMA Flood Zones'!$J9</f>
        <v>0</v>
      </c>
      <c r="AM11" s="72">
        <f>R11/'FEMA Flood Zones'!$K9</f>
        <v>0</v>
      </c>
      <c r="AN11" s="72">
        <f>S11/'FEMA Flood Zones'!$J9</f>
        <v>0</v>
      </c>
      <c r="AO11" s="72">
        <f>T11/'FEMA Flood Zones'!$K9</f>
        <v>0</v>
      </c>
      <c r="AP11" s="224">
        <f t="shared" ref="AP11:AP74" si="2">U11/(V11+W11)</f>
        <v>0</v>
      </c>
      <c r="AQ11" s="4">
        <f t="shared" si="0"/>
        <v>60</v>
      </c>
      <c r="AR11" s="210">
        <f t="shared" ref="AR11:AR74" si="3">RANK(AN11,$AN$10:$AN$118,0)</f>
        <v>60</v>
      </c>
    </row>
    <row r="12" spans="1:44" x14ac:dyDescent="0.25">
      <c r="A12" s="2" t="s">
        <v>16</v>
      </c>
      <c r="B12" s="2" t="s">
        <v>18</v>
      </c>
      <c r="C12" s="68">
        <f>'SLR Raw'!C14</f>
        <v>0</v>
      </c>
      <c r="D12" s="68">
        <f>'SLR Raw'!D14</f>
        <v>0</v>
      </c>
      <c r="E12" s="68">
        <f>'SLR Raw'!E14</f>
        <v>0</v>
      </c>
      <c r="F12" s="68">
        <f>'SLR Raw'!F14</f>
        <v>0</v>
      </c>
      <c r="G12" s="68">
        <f>'SLR Raw'!G14</f>
        <v>0</v>
      </c>
      <c r="H12" s="68">
        <f>'SLR Raw'!H14</f>
        <v>0</v>
      </c>
      <c r="I12" s="68">
        <f>'SLR Raw'!I14</f>
        <v>0</v>
      </c>
      <c r="J12" s="68">
        <f>'SLR Raw'!J14</f>
        <v>0</v>
      </c>
      <c r="K12" s="68">
        <f>'SLR Raw'!M14</f>
        <v>0</v>
      </c>
      <c r="L12" s="68">
        <f>'SLR Raw'!N14</f>
        <v>0</v>
      </c>
      <c r="M12" s="68">
        <f>'SLR Raw'!O14</f>
        <v>0</v>
      </c>
      <c r="N12" s="68">
        <f>'SLR Raw'!P14</f>
        <v>0</v>
      </c>
      <c r="O12" s="68">
        <f>'SLR Raw'!Q14</f>
        <v>0</v>
      </c>
      <c r="P12" s="68">
        <f>'SLR Raw'!R14</f>
        <v>0</v>
      </c>
      <c r="Q12" s="68">
        <f>'SLR Raw'!S14</f>
        <v>6</v>
      </c>
      <c r="R12" s="68">
        <f>'SLR Raw'!T14</f>
        <v>4</v>
      </c>
      <c r="S12" s="68">
        <f>'SLR Raw'!U14</f>
        <v>10</v>
      </c>
      <c r="T12" s="68">
        <f>'SLR Raw'!V14</f>
        <v>8</v>
      </c>
      <c r="U12" s="221">
        <f t="shared" si="1"/>
        <v>18</v>
      </c>
      <c r="V12" s="12">
        <v>17041</v>
      </c>
      <c r="W12" s="215">
        <v>6517</v>
      </c>
      <c r="X12" s="74">
        <f>C12/'FEMA Flood Zones'!$J10</f>
        <v>0</v>
      </c>
      <c r="Y12" s="74">
        <f>D12/'FEMA Flood Zones'!$K10</f>
        <v>0</v>
      </c>
      <c r="Z12" s="72">
        <f>E12/'FEMA Flood Zones'!$J10</f>
        <v>0</v>
      </c>
      <c r="AA12" s="72">
        <f>F12/'FEMA Flood Zones'!$K10</f>
        <v>0</v>
      </c>
      <c r="AB12" s="72">
        <f>G12/'FEMA Flood Zones'!$J10</f>
        <v>0</v>
      </c>
      <c r="AC12" s="72">
        <f>H12/'FEMA Flood Zones'!$K10</f>
        <v>0</v>
      </c>
      <c r="AD12" s="72">
        <f>I12/'FEMA Flood Zones'!$J10</f>
        <v>0</v>
      </c>
      <c r="AE12" s="72">
        <f>J12/'FEMA Flood Zones'!$K10</f>
        <v>0</v>
      </c>
      <c r="AF12" s="72">
        <f>K12/'FEMA Flood Zones'!$J10</f>
        <v>0</v>
      </c>
      <c r="AG12" s="72">
        <f>L12/'FEMA Flood Zones'!$K10</f>
        <v>0</v>
      </c>
      <c r="AH12" s="72">
        <f>M12/'FEMA Flood Zones'!$J10</f>
        <v>0</v>
      </c>
      <c r="AI12" s="72">
        <f>N12/'FEMA Flood Zones'!$K10</f>
        <v>0</v>
      </c>
      <c r="AJ12" s="72">
        <f>O12/'FEMA Flood Zones'!$J10</f>
        <v>0</v>
      </c>
      <c r="AK12" s="72">
        <f>P12/'FEMA Flood Zones'!$K10</f>
        <v>0</v>
      </c>
      <c r="AL12" s="72">
        <f>Q12/'FEMA Flood Zones'!$J10</f>
        <v>3.5209201337949649E-4</v>
      </c>
      <c r="AM12" s="72">
        <f>R12/'FEMA Flood Zones'!$K10</f>
        <v>6.1377934632499619E-4</v>
      </c>
      <c r="AN12" s="72">
        <f>S12/'FEMA Flood Zones'!$J10</f>
        <v>5.8682002229916083E-4</v>
      </c>
      <c r="AO12" s="72">
        <f>T12/'FEMA Flood Zones'!$K10</f>
        <v>1.2275586926499924E-3</v>
      </c>
      <c r="AP12" s="224">
        <f t="shared" si="2"/>
        <v>7.6407165294167583E-4</v>
      </c>
      <c r="AQ12" s="4">
        <f t="shared" si="0"/>
        <v>54</v>
      </c>
      <c r="AR12" s="210">
        <f t="shared" si="3"/>
        <v>57</v>
      </c>
    </row>
    <row r="13" spans="1:44" x14ac:dyDescent="0.25">
      <c r="A13" s="2" t="s">
        <v>16</v>
      </c>
      <c r="B13" s="2" t="s">
        <v>19</v>
      </c>
      <c r="C13" s="68">
        <f>'SLR Raw'!C15</f>
        <v>0</v>
      </c>
      <c r="D13" s="68">
        <f>'SLR Raw'!D15</f>
        <v>0</v>
      </c>
      <c r="E13" s="68">
        <f>'SLR Raw'!E15</f>
        <v>0</v>
      </c>
      <c r="F13" s="68">
        <f>'SLR Raw'!F15</f>
        <v>0</v>
      </c>
      <c r="G13" s="68">
        <f>'SLR Raw'!G15</f>
        <v>0</v>
      </c>
      <c r="H13" s="68">
        <f>'SLR Raw'!H15</f>
        <v>0</v>
      </c>
      <c r="I13" s="68">
        <f>'SLR Raw'!I15</f>
        <v>0</v>
      </c>
      <c r="J13" s="68">
        <f>'SLR Raw'!J15</f>
        <v>0</v>
      </c>
      <c r="K13" s="68">
        <f>'SLR Raw'!M15</f>
        <v>0</v>
      </c>
      <c r="L13" s="68">
        <f>'SLR Raw'!N15</f>
        <v>0</v>
      </c>
      <c r="M13" s="68">
        <f>'SLR Raw'!O15</f>
        <v>0</v>
      </c>
      <c r="N13" s="68">
        <f>'SLR Raw'!P15</f>
        <v>0</v>
      </c>
      <c r="O13" s="68">
        <f>'SLR Raw'!Q15</f>
        <v>0</v>
      </c>
      <c r="P13" s="68">
        <f>'SLR Raw'!R15</f>
        <v>0</v>
      </c>
      <c r="Q13" s="68">
        <f>'SLR Raw'!S15</f>
        <v>0</v>
      </c>
      <c r="R13" s="68">
        <f>'SLR Raw'!T15</f>
        <v>0</v>
      </c>
      <c r="S13" s="68">
        <f>'SLR Raw'!U15</f>
        <v>0</v>
      </c>
      <c r="T13" s="68">
        <f>'SLR Raw'!V15</f>
        <v>0</v>
      </c>
      <c r="U13" s="221">
        <f t="shared" si="1"/>
        <v>0</v>
      </c>
      <c r="V13" s="12">
        <v>12947</v>
      </c>
      <c r="W13" s="215">
        <v>258</v>
      </c>
      <c r="X13" s="74">
        <f>C13/'FEMA Flood Zones'!$J11</f>
        <v>0</v>
      </c>
      <c r="Y13" s="74">
        <f>D13/'FEMA Flood Zones'!$K11</f>
        <v>0</v>
      </c>
      <c r="Z13" s="72">
        <f>E13/'FEMA Flood Zones'!$J11</f>
        <v>0</v>
      </c>
      <c r="AA13" s="72">
        <f>F13/'FEMA Flood Zones'!$K11</f>
        <v>0</v>
      </c>
      <c r="AB13" s="72">
        <f>G13/'FEMA Flood Zones'!$J11</f>
        <v>0</v>
      </c>
      <c r="AC13" s="72">
        <f>H13/'FEMA Flood Zones'!$K11</f>
        <v>0</v>
      </c>
      <c r="AD13" s="72">
        <f>I13/'FEMA Flood Zones'!$J11</f>
        <v>0</v>
      </c>
      <c r="AE13" s="72">
        <f>J13/'FEMA Flood Zones'!$K11</f>
        <v>0</v>
      </c>
      <c r="AF13" s="72">
        <f>K13/'FEMA Flood Zones'!$J11</f>
        <v>0</v>
      </c>
      <c r="AG13" s="72">
        <f>L13/'FEMA Flood Zones'!$K11</f>
        <v>0</v>
      </c>
      <c r="AH13" s="72">
        <f>M13/'FEMA Flood Zones'!$J11</f>
        <v>0</v>
      </c>
      <c r="AI13" s="72">
        <f>N13/'FEMA Flood Zones'!$K11</f>
        <v>0</v>
      </c>
      <c r="AJ13" s="72">
        <f>O13/'FEMA Flood Zones'!$J11</f>
        <v>0</v>
      </c>
      <c r="AK13" s="72">
        <f>P13/'FEMA Flood Zones'!$K11</f>
        <v>0</v>
      </c>
      <c r="AL13" s="72">
        <f>Q13/'FEMA Flood Zones'!$J11</f>
        <v>0</v>
      </c>
      <c r="AM13" s="72">
        <f>R13/'FEMA Flood Zones'!$K11</f>
        <v>0</v>
      </c>
      <c r="AN13" s="72">
        <f>S13/'FEMA Flood Zones'!$J11</f>
        <v>0</v>
      </c>
      <c r="AO13" s="72">
        <f>T13/'FEMA Flood Zones'!$K11</f>
        <v>0</v>
      </c>
      <c r="AP13" s="224">
        <f t="shared" si="2"/>
        <v>0</v>
      </c>
      <c r="AQ13" s="4">
        <f t="shared" si="0"/>
        <v>60</v>
      </c>
      <c r="AR13" s="210">
        <f t="shared" si="3"/>
        <v>60</v>
      </c>
    </row>
    <row r="14" spans="1:44" x14ac:dyDescent="0.25">
      <c r="A14" s="2" t="s">
        <v>16</v>
      </c>
      <c r="B14" s="2" t="s">
        <v>20</v>
      </c>
      <c r="C14" s="68">
        <f>'SLR Raw'!C16</f>
        <v>0</v>
      </c>
      <c r="D14" s="68">
        <f>'SLR Raw'!D16</f>
        <v>0</v>
      </c>
      <c r="E14" s="68">
        <f>'SLR Raw'!E16</f>
        <v>0</v>
      </c>
      <c r="F14" s="68">
        <f>'SLR Raw'!F16</f>
        <v>0</v>
      </c>
      <c r="G14" s="68">
        <f>'SLR Raw'!G16</f>
        <v>0</v>
      </c>
      <c r="H14" s="68">
        <f>'SLR Raw'!H16</f>
        <v>0</v>
      </c>
      <c r="I14" s="68">
        <f>'SLR Raw'!I16</f>
        <v>0</v>
      </c>
      <c r="J14" s="68">
        <f>'SLR Raw'!J16</f>
        <v>0</v>
      </c>
      <c r="K14" s="68">
        <f>'SLR Raw'!M16</f>
        <v>0</v>
      </c>
      <c r="L14" s="68">
        <f>'SLR Raw'!N16</f>
        <v>1</v>
      </c>
      <c r="M14" s="68">
        <f>'SLR Raw'!O16</f>
        <v>1</v>
      </c>
      <c r="N14" s="68">
        <f>'SLR Raw'!P16</f>
        <v>4</v>
      </c>
      <c r="O14" s="68">
        <f>'SLR Raw'!Q16</f>
        <v>1</v>
      </c>
      <c r="P14" s="68">
        <f>'SLR Raw'!R16</f>
        <v>6</v>
      </c>
      <c r="Q14" s="68">
        <f>'SLR Raw'!S16</f>
        <v>1</v>
      </c>
      <c r="R14" s="68">
        <f>'SLR Raw'!T16</f>
        <v>6</v>
      </c>
      <c r="S14" s="68">
        <f>'SLR Raw'!U16</f>
        <v>1</v>
      </c>
      <c r="T14" s="68">
        <f>'SLR Raw'!V16</f>
        <v>7</v>
      </c>
      <c r="U14" s="221">
        <f t="shared" si="1"/>
        <v>8</v>
      </c>
      <c r="V14" s="12">
        <v>226</v>
      </c>
      <c r="W14" s="215">
        <v>315</v>
      </c>
      <c r="X14" s="74">
        <f>C14/'FEMA Flood Zones'!$J12</f>
        <v>0</v>
      </c>
      <c r="Y14" s="74">
        <f>D14/'FEMA Flood Zones'!$K12</f>
        <v>0</v>
      </c>
      <c r="Z14" s="72">
        <f>E14/'FEMA Flood Zones'!$J12</f>
        <v>0</v>
      </c>
      <c r="AA14" s="72">
        <f>F14/'FEMA Flood Zones'!$K12</f>
        <v>0</v>
      </c>
      <c r="AB14" s="72">
        <f>G14/'FEMA Flood Zones'!$J12</f>
        <v>0</v>
      </c>
      <c r="AC14" s="72">
        <f>H14/'FEMA Flood Zones'!$K12</f>
        <v>0</v>
      </c>
      <c r="AD14" s="72">
        <f>I14/'FEMA Flood Zones'!$J12</f>
        <v>0</v>
      </c>
      <c r="AE14" s="72">
        <f>J14/'FEMA Flood Zones'!$K12</f>
        <v>0</v>
      </c>
      <c r="AF14" s="72">
        <f>K14/'FEMA Flood Zones'!$J12</f>
        <v>0</v>
      </c>
      <c r="AG14" s="72">
        <f>L14/'FEMA Flood Zones'!$K12</f>
        <v>3.1746031746031746E-3</v>
      </c>
      <c r="AH14" s="72">
        <f>M14/'FEMA Flood Zones'!$J12</f>
        <v>4.4247787610619468E-3</v>
      </c>
      <c r="AI14" s="72">
        <f>N14/'FEMA Flood Zones'!$K12</f>
        <v>1.2698412698412698E-2</v>
      </c>
      <c r="AJ14" s="72">
        <f>O14/'FEMA Flood Zones'!$J12</f>
        <v>4.4247787610619468E-3</v>
      </c>
      <c r="AK14" s="72">
        <f>P14/'FEMA Flood Zones'!$K12</f>
        <v>1.9047619047619049E-2</v>
      </c>
      <c r="AL14" s="72">
        <f>Q14/'FEMA Flood Zones'!$J12</f>
        <v>4.4247787610619468E-3</v>
      </c>
      <c r="AM14" s="72">
        <f>R14/'FEMA Flood Zones'!$K12</f>
        <v>1.9047619047619049E-2</v>
      </c>
      <c r="AN14" s="72">
        <f>S14/'FEMA Flood Zones'!$J12</f>
        <v>4.4247787610619468E-3</v>
      </c>
      <c r="AO14" s="72">
        <f>T14/'FEMA Flood Zones'!$K12</f>
        <v>2.2222222222222223E-2</v>
      </c>
      <c r="AP14" s="224">
        <f t="shared" si="2"/>
        <v>1.4787430683918669E-2</v>
      </c>
      <c r="AQ14" s="4">
        <f t="shared" si="0"/>
        <v>56</v>
      </c>
      <c r="AR14" s="210">
        <f t="shared" si="3"/>
        <v>47</v>
      </c>
    </row>
    <row r="15" spans="1:44" x14ac:dyDescent="0.25">
      <c r="A15" s="2" t="s">
        <v>16</v>
      </c>
      <c r="B15" s="2" t="s">
        <v>21</v>
      </c>
      <c r="C15" s="68">
        <f>'SLR Raw'!C17</f>
        <v>0</v>
      </c>
      <c r="D15" s="68">
        <f>'SLR Raw'!D17</f>
        <v>0</v>
      </c>
      <c r="E15" s="68">
        <f>'SLR Raw'!E17</f>
        <v>0</v>
      </c>
      <c r="F15" s="68">
        <f>'SLR Raw'!F17</f>
        <v>0</v>
      </c>
      <c r="G15" s="68">
        <f>'SLR Raw'!G17</f>
        <v>0</v>
      </c>
      <c r="H15" s="68">
        <f>'SLR Raw'!H17</f>
        <v>0</v>
      </c>
      <c r="I15" s="68">
        <f>'SLR Raw'!I17</f>
        <v>0</v>
      </c>
      <c r="J15" s="68">
        <f>'SLR Raw'!J17</f>
        <v>0</v>
      </c>
      <c r="K15" s="68">
        <f>'SLR Raw'!M17</f>
        <v>0</v>
      </c>
      <c r="L15" s="68">
        <f>'SLR Raw'!N17</f>
        <v>0</v>
      </c>
      <c r="M15" s="68">
        <f>'SLR Raw'!O17</f>
        <v>59</v>
      </c>
      <c r="N15" s="68">
        <f>'SLR Raw'!P17</f>
        <v>4</v>
      </c>
      <c r="O15" s="68">
        <f>'SLR Raw'!Q17</f>
        <v>109</v>
      </c>
      <c r="P15" s="68">
        <f>'SLR Raw'!R17</f>
        <v>6</v>
      </c>
      <c r="Q15" s="68">
        <f>'SLR Raw'!S17</f>
        <v>215</v>
      </c>
      <c r="R15" s="68">
        <f>'SLR Raw'!T17</f>
        <v>11</v>
      </c>
      <c r="S15" s="68">
        <f>'SLR Raw'!U17</f>
        <v>727</v>
      </c>
      <c r="T15" s="68">
        <f>'SLR Raw'!V17</f>
        <v>35</v>
      </c>
      <c r="U15" s="221">
        <f t="shared" si="1"/>
        <v>762</v>
      </c>
      <c r="V15" s="12">
        <v>49040</v>
      </c>
      <c r="W15" s="215">
        <v>1360</v>
      </c>
      <c r="X15" s="74">
        <f>C15/'FEMA Flood Zones'!$J13</f>
        <v>0</v>
      </c>
      <c r="Y15" s="74">
        <f>D15/'FEMA Flood Zones'!$K13</f>
        <v>0</v>
      </c>
      <c r="Z15" s="72">
        <f>E15/'FEMA Flood Zones'!$J13</f>
        <v>0</v>
      </c>
      <c r="AA15" s="72">
        <f>F15/'FEMA Flood Zones'!$K13</f>
        <v>0</v>
      </c>
      <c r="AB15" s="72">
        <f>G15/'FEMA Flood Zones'!$J13</f>
        <v>0</v>
      </c>
      <c r="AC15" s="72">
        <f>H15/'FEMA Flood Zones'!$K13</f>
        <v>0</v>
      </c>
      <c r="AD15" s="72">
        <f>I15/'FEMA Flood Zones'!$J13</f>
        <v>0</v>
      </c>
      <c r="AE15" s="72">
        <f>J15/'FEMA Flood Zones'!$K13</f>
        <v>0</v>
      </c>
      <c r="AF15" s="72">
        <f>K15/'FEMA Flood Zones'!$J13</f>
        <v>0</v>
      </c>
      <c r="AG15" s="72">
        <f>L15/'FEMA Flood Zones'!$K13</f>
        <v>0</v>
      </c>
      <c r="AH15" s="72">
        <f>M15/'FEMA Flood Zones'!$J13</f>
        <v>1.2030995106035889E-3</v>
      </c>
      <c r="AI15" s="72">
        <f>N15/'FEMA Flood Zones'!$K13</f>
        <v>2.9411764705882353E-3</v>
      </c>
      <c r="AJ15" s="72">
        <f>O15/'FEMA Flood Zones'!$J13</f>
        <v>2.2226753670473083E-3</v>
      </c>
      <c r="AK15" s="72">
        <f>P15/'FEMA Flood Zones'!$K13</f>
        <v>4.4117647058823529E-3</v>
      </c>
      <c r="AL15" s="72">
        <f>Q15/'FEMA Flood Zones'!$J13</f>
        <v>4.3841761827079937E-3</v>
      </c>
      <c r="AM15" s="72">
        <f>R15/'FEMA Flood Zones'!$K13</f>
        <v>8.0882352941176478E-3</v>
      </c>
      <c r="AN15" s="72">
        <f>S15/'FEMA Flood Zones'!$J13</f>
        <v>1.482463295269168E-2</v>
      </c>
      <c r="AO15" s="72">
        <f>T15/'FEMA Flood Zones'!$K13</f>
        <v>2.5735294117647058E-2</v>
      </c>
      <c r="AP15" s="224">
        <f t="shared" si="2"/>
        <v>1.5119047619047619E-2</v>
      </c>
      <c r="AQ15" s="4">
        <f t="shared" si="0"/>
        <v>24</v>
      </c>
      <c r="AR15" s="210">
        <f t="shared" si="3"/>
        <v>40</v>
      </c>
    </row>
    <row r="16" spans="1:44" x14ac:dyDescent="0.25">
      <c r="A16" s="2" t="s">
        <v>16</v>
      </c>
      <c r="B16" s="2" t="s">
        <v>128</v>
      </c>
      <c r="C16" s="68">
        <f>'SLR Raw'!C18</f>
        <v>0</v>
      </c>
      <c r="D16" s="68">
        <f>'SLR Raw'!D18</f>
        <v>1</v>
      </c>
      <c r="E16" s="68">
        <f>'SLR Raw'!E18</f>
        <v>7</v>
      </c>
      <c r="F16" s="68">
        <f>'SLR Raw'!F18</f>
        <v>1</v>
      </c>
      <c r="G16" s="68">
        <f>'SLR Raw'!G18</f>
        <v>13</v>
      </c>
      <c r="H16" s="68">
        <f>'SLR Raw'!H18</f>
        <v>3</v>
      </c>
      <c r="I16" s="68">
        <f>'SLR Raw'!I18</f>
        <v>69</v>
      </c>
      <c r="J16" s="68">
        <f>'SLR Raw'!J18</f>
        <v>5</v>
      </c>
      <c r="K16" s="68">
        <f>'SLR Raw'!M18</f>
        <v>862</v>
      </c>
      <c r="L16" s="68">
        <f>'SLR Raw'!N18</f>
        <v>33</v>
      </c>
      <c r="M16" s="68">
        <f>'SLR Raw'!O18</f>
        <v>1059</v>
      </c>
      <c r="N16" s="68">
        <f>'SLR Raw'!P18</f>
        <v>46</v>
      </c>
      <c r="O16" s="68">
        <f>'SLR Raw'!Q18</f>
        <v>1288</v>
      </c>
      <c r="P16" s="68">
        <f>'SLR Raw'!R18</f>
        <v>54</v>
      </c>
      <c r="Q16" s="68">
        <f>'SLR Raw'!S18</f>
        <v>1599</v>
      </c>
      <c r="R16" s="68">
        <f>'SLR Raw'!T18</f>
        <v>65</v>
      </c>
      <c r="S16" s="68">
        <f>'SLR Raw'!U18</f>
        <v>1992</v>
      </c>
      <c r="T16" s="68">
        <f>'SLR Raw'!V18</f>
        <v>78</v>
      </c>
      <c r="U16" s="221">
        <f t="shared" si="1"/>
        <v>2070</v>
      </c>
      <c r="V16" s="12">
        <v>26190</v>
      </c>
      <c r="W16" s="215">
        <v>2395</v>
      </c>
      <c r="X16" s="74">
        <f>C16/'FEMA Flood Zones'!$J14</f>
        <v>0</v>
      </c>
      <c r="Y16" s="74">
        <f>D16/'FEMA Flood Zones'!$K14</f>
        <v>4.1753653444676412E-4</v>
      </c>
      <c r="Z16" s="72">
        <f>E16/'FEMA Flood Zones'!$J14</f>
        <v>2.6727758686521572E-4</v>
      </c>
      <c r="AA16" s="72">
        <f>F16/'FEMA Flood Zones'!$K14</f>
        <v>4.1753653444676412E-4</v>
      </c>
      <c r="AB16" s="72">
        <f>G16/'FEMA Flood Zones'!$J14</f>
        <v>4.9637266132111497E-4</v>
      </c>
      <c r="AC16" s="72">
        <f>H16/'FEMA Flood Zones'!$K14</f>
        <v>1.2526096033402922E-3</v>
      </c>
      <c r="AD16" s="72">
        <f>I16/'FEMA Flood Zones'!$J14</f>
        <v>2.634593356242841E-3</v>
      </c>
      <c r="AE16" s="72">
        <f>J16/'FEMA Flood Zones'!$K14</f>
        <v>2.0876826722338203E-3</v>
      </c>
      <c r="AF16" s="72">
        <f>K16/'FEMA Flood Zones'!$J14</f>
        <v>3.291332569683085E-2</v>
      </c>
      <c r="AG16" s="72">
        <f>L16/'FEMA Flood Zones'!$K14</f>
        <v>1.3778705636743214E-2</v>
      </c>
      <c r="AH16" s="72">
        <f>M16/'FEMA Flood Zones'!$J14</f>
        <v>4.0435280641466211E-2</v>
      </c>
      <c r="AI16" s="72">
        <f>N16/'FEMA Flood Zones'!$K14</f>
        <v>1.9206680584551147E-2</v>
      </c>
      <c r="AJ16" s="72">
        <f>O16/'FEMA Flood Zones'!$J14</f>
        <v>4.9179075983199698E-2</v>
      </c>
      <c r="AK16" s="72">
        <f>P16/'FEMA Flood Zones'!$K14</f>
        <v>2.2546972860125261E-2</v>
      </c>
      <c r="AL16" s="72">
        <f>Q16/'FEMA Flood Zones'!$J14</f>
        <v>6.1053837342497135E-2</v>
      </c>
      <c r="AM16" s="72">
        <f>R16/'FEMA Flood Zones'!$K14</f>
        <v>2.7139874739039668E-2</v>
      </c>
      <c r="AN16" s="72">
        <f>S16/'FEMA Flood Zones'!$J14</f>
        <v>7.6059564719358527E-2</v>
      </c>
      <c r="AO16" s="72">
        <f>T16/'FEMA Flood Zones'!$K14</f>
        <v>3.2567849686847603E-2</v>
      </c>
      <c r="AP16" s="224">
        <f t="shared" si="2"/>
        <v>7.2415602588770334E-2</v>
      </c>
      <c r="AQ16" s="4">
        <f t="shared" si="0"/>
        <v>12</v>
      </c>
      <c r="AR16" s="210">
        <f t="shared" si="3"/>
        <v>23</v>
      </c>
    </row>
    <row r="17" spans="1:44" x14ac:dyDescent="0.25">
      <c r="A17" s="2" t="s">
        <v>16</v>
      </c>
      <c r="B17" s="2" t="s">
        <v>22</v>
      </c>
      <c r="C17" s="68">
        <f>'SLR Raw'!C19</f>
        <v>0</v>
      </c>
      <c r="D17" s="68">
        <f>'SLR Raw'!D19</f>
        <v>0</v>
      </c>
      <c r="E17" s="68">
        <f>'SLR Raw'!E19</f>
        <v>0</v>
      </c>
      <c r="F17" s="68">
        <f>'SLR Raw'!F19</f>
        <v>0</v>
      </c>
      <c r="G17" s="68">
        <f>'SLR Raw'!G19</f>
        <v>0</v>
      </c>
      <c r="H17" s="68">
        <f>'SLR Raw'!H19</f>
        <v>0</v>
      </c>
      <c r="I17" s="68">
        <f>'SLR Raw'!I19</f>
        <v>0</v>
      </c>
      <c r="J17" s="68">
        <f>'SLR Raw'!J19</f>
        <v>0</v>
      </c>
      <c r="K17" s="68">
        <f>'SLR Raw'!M19</f>
        <v>0</v>
      </c>
      <c r="L17" s="68">
        <f>'SLR Raw'!N19</f>
        <v>0</v>
      </c>
      <c r="M17" s="68">
        <f>'SLR Raw'!O19</f>
        <v>0</v>
      </c>
      <c r="N17" s="68">
        <f>'SLR Raw'!P19</f>
        <v>0</v>
      </c>
      <c r="O17" s="68">
        <f>'SLR Raw'!Q19</f>
        <v>0</v>
      </c>
      <c r="P17" s="68">
        <f>'SLR Raw'!R19</f>
        <v>0</v>
      </c>
      <c r="Q17" s="68">
        <f>'SLR Raw'!S19</f>
        <v>0</v>
      </c>
      <c r="R17" s="68">
        <f>'SLR Raw'!T19</f>
        <v>0</v>
      </c>
      <c r="S17" s="68">
        <f>'SLR Raw'!U19</f>
        <v>0</v>
      </c>
      <c r="T17" s="68">
        <f>'SLR Raw'!V19</f>
        <v>0</v>
      </c>
      <c r="U17" s="221">
        <f t="shared" si="1"/>
        <v>0</v>
      </c>
      <c r="V17" s="12">
        <v>24226</v>
      </c>
      <c r="W17" s="215">
        <v>915</v>
      </c>
      <c r="X17" s="74">
        <f>C17/'FEMA Flood Zones'!$J15</f>
        <v>0</v>
      </c>
      <c r="Y17" s="74">
        <f>D17/'FEMA Flood Zones'!$K15</f>
        <v>0</v>
      </c>
      <c r="Z17" s="72">
        <f>E17/'FEMA Flood Zones'!$J15</f>
        <v>0</v>
      </c>
      <c r="AA17" s="72">
        <f>F17/'FEMA Flood Zones'!$K15</f>
        <v>0</v>
      </c>
      <c r="AB17" s="72">
        <f>G17/'FEMA Flood Zones'!$J15</f>
        <v>0</v>
      </c>
      <c r="AC17" s="72">
        <f>H17/'FEMA Flood Zones'!$K15</f>
        <v>0</v>
      </c>
      <c r="AD17" s="72">
        <f>I17/'FEMA Flood Zones'!$J15</f>
        <v>0</v>
      </c>
      <c r="AE17" s="72">
        <f>J17/'FEMA Flood Zones'!$K15</f>
        <v>0</v>
      </c>
      <c r="AF17" s="72">
        <f>K17/'FEMA Flood Zones'!$J15</f>
        <v>0</v>
      </c>
      <c r="AG17" s="72">
        <f>L17/'FEMA Flood Zones'!$K15</f>
        <v>0</v>
      </c>
      <c r="AH17" s="72">
        <f>M17/'FEMA Flood Zones'!$J15</f>
        <v>0</v>
      </c>
      <c r="AI17" s="72">
        <f>N17/'FEMA Flood Zones'!$K15</f>
        <v>0</v>
      </c>
      <c r="AJ17" s="72">
        <f>O17/'FEMA Flood Zones'!$J15</f>
        <v>0</v>
      </c>
      <c r="AK17" s="72">
        <f>P17/'FEMA Flood Zones'!$K15</f>
        <v>0</v>
      </c>
      <c r="AL17" s="72">
        <f>Q17/'FEMA Flood Zones'!$J15</f>
        <v>0</v>
      </c>
      <c r="AM17" s="72">
        <f>R17/'FEMA Flood Zones'!$K15</f>
        <v>0</v>
      </c>
      <c r="AN17" s="72">
        <f>S17/'FEMA Flood Zones'!$J15</f>
        <v>0</v>
      </c>
      <c r="AO17" s="72">
        <f>T17/'FEMA Flood Zones'!$K15</f>
        <v>0</v>
      </c>
      <c r="AP17" s="224">
        <f t="shared" si="2"/>
        <v>0</v>
      </c>
      <c r="AQ17" s="4">
        <f t="shared" si="0"/>
        <v>60</v>
      </c>
      <c r="AR17" s="210">
        <f t="shared" si="3"/>
        <v>60</v>
      </c>
    </row>
    <row r="18" spans="1:44" x14ac:dyDescent="0.25">
      <c r="A18" s="2" t="s">
        <v>16</v>
      </c>
      <c r="B18" s="2" t="s">
        <v>23</v>
      </c>
      <c r="C18" s="68">
        <f>'SLR Raw'!C20</f>
        <v>0</v>
      </c>
      <c r="D18" s="68">
        <f>'SLR Raw'!D20</f>
        <v>0</v>
      </c>
      <c r="E18" s="68">
        <f>'SLR Raw'!E20</f>
        <v>0</v>
      </c>
      <c r="F18" s="68">
        <f>'SLR Raw'!F20</f>
        <v>0</v>
      </c>
      <c r="G18" s="68">
        <f>'SLR Raw'!G20</f>
        <v>0</v>
      </c>
      <c r="H18" s="68">
        <f>'SLR Raw'!H20</f>
        <v>0</v>
      </c>
      <c r="I18" s="68">
        <f>'SLR Raw'!I20</f>
        <v>0</v>
      </c>
      <c r="J18" s="68">
        <f>'SLR Raw'!J20</f>
        <v>0</v>
      </c>
      <c r="K18" s="68">
        <f>'SLR Raw'!M20</f>
        <v>346</v>
      </c>
      <c r="L18" s="68">
        <f>'SLR Raw'!N20</f>
        <v>7</v>
      </c>
      <c r="M18" s="68">
        <f>'SLR Raw'!O20</f>
        <v>493</v>
      </c>
      <c r="N18" s="68">
        <f>'SLR Raw'!P20</f>
        <v>16</v>
      </c>
      <c r="O18" s="68">
        <f>'SLR Raw'!Q20</f>
        <v>784</v>
      </c>
      <c r="P18" s="68">
        <f>'SLR Raw'!R20</f>
        <v>27</v>
      </c>
      <c r="Q18" s="68">
        <f>'SLR Raw'!S20</f>
        <v>1489</v>
      </c>
      <c r="R18" s="68">
        <f>'SLR Raw'!T20</f>
        <v>76</v>
      </c>
      <c r="S18" s="68">
        <f>'SLR Raw'!U20</f>
        <v>2190</v>
      </c>
      <c r="T18" s="68">
        <f>'SLR Raw'!V20</f>
        <v>127</v>
      </c>
      <c r="U18" s="221">
        <f t="shared" si="1"/>
        <v>2317</v>
      </c>
      <c r="V18" s="12">
        <v>10761</v>
      </c>
      <c r="W18" s="215">
        <v>428</v>
      </c>
      <c r="X18" s="74">
        <f>C18/'FEMA Flood Zones'!$J16</f>
        <v>0</v>
      </c>
      <c r="Y18" s="74">
        <f>D18/'FEMA Flood Zones'!$K16</f>
        <v>0</v>
      </c>
      <c r="Z18" s="72">
        <f>E18/'FEMA Flood Zones'!$J16</f>
        <v>0</v>
      </c>
      <c r="AA18" s="72">
        <f>F18/'FEMA Flood Zones'!$K16</f>
        <v>0</v>
      </c>
      <c r="AB18" s="72">
        <f>G18/'FEMA Flood Zones'!$J16</f>
        <v>0</v>
      </c>
      <c r="AC18" s="72">
        <f>H18/'FEMA Flood Zones'!$K16</f>
        <v>0</v>
      </c>
      <c r="AD18" s="72">
        <f>I18/'FEMA Flood Zones'!$J16</f>
        <v>0</v>
      </c>
      <c r="AE18" s="72">
        <f>J18/'FEMA Flood Zones'!$K16</f>
        <v>0</v>
      </c>
      <c r="AF18" s="72">
        <f>K18/'FEMA Flood Zones'!$J16</f>
        <v>3.2153145618436949E-2</v>
      </c>
      <c r="AG18" s="72">
        <f>L18/'FEMA Flood Zones'!$K16</f>
        <v>1.6355140186915886E-2</v>
      </c>
      <c r="AH18" s="72">
        <f>M18/'FEMA Flood Zones'!$J16</f>
        <v>4.5813586097946286E-2</v>
      </c>
      <c r="AI18" s="72">
        <f>N18/'FEMA Flood Zones'!$K16</f>
        <v>3.7383177570093455E-2</v>
      </c>
      <c r="AJ18" s="72">
        <f>O18/'FEMA Flood Zones'!$J16</f>
        <v>7.2855682557383145E-2</v>
      </c>
      <c r="AK18" s="72">
        <f>P18/'FEMA Flood Zones'!$K16</f>
        <v>6.3084112149532703E-2</v>
      </c>
      <c r="AL18" s="72">
        <f>Q18/'FEMA Flood Zones'!$J16</f>
        <v>0.1383700399591116</v>
      </c>
      <c r="AM18" s="72">
        <f>R18/'FEMA Flood Zones'!$K16</f>
        <v>0.17757009345794392</v>
      </c>
      <c r="AN18" s="72">
        <f>S18/'FEMA Flood Zones'!$J16</f>
        <v>0.20351268469473097</v>
      </c>
      <c r="AO18" s="72">
        <f>T18/'FEMA Flood Zones'!$K16</f>
        <v>0.29672897196261683</v>
      </c>
      <c r="AP18" s="224">
        <f t="shared" si="2"/>
        <v>0.20707838055232819</v>
      </c>
      <c r="AQ18" s="4">
        <f t="shared" si="0"/>
        <v>11</v>
      </c>
      <c r="AR18" s="210">
        <f t="shared" si="3"/>
        <v>12</v>
      </c>
    </row>
    <row r="19" spans="1:44" x14ac:dyDescent="0.25">
      <c r="A19" s="2" t="s">
        <v>16</v>
      </c>
      <c r="B19" s="2" t="s">
        <v>24</v>
      </c>
      <c r="C19" s="68">
        <f>'SLR Raw'!C21</f>
        <v>4</v>
      </c>
      <c r="D19" s="68">
        <f>'SLR Raw'!D21</f>
        <v>0</v>
      </c>
      <c r="E19" s="68">
        <f>'SLR Raw'!E21</f>
        <v>4</v>
      </c>
      <c r="F19" s="68">
        <f>'SLR Raw'!F21</f>
        <v>1</v>
      </c>
      <c r="G19" s="68">
        <f>'SLR Raw'!G21</f>
        <v>9</v>
      </c>
      <c r="H19" s="68">
        <f>'SLR Raw'!H21</f>
        <v>1</v>
      </c>
      <c r="I19" s="68">
        <f>'SLR Raw'!I21</f>
        <v>81</v>
      </c>
      <c r="J19" s="68">
        <f>'SLR Raw'!J21</f>
        <v>7</v>
      </c>
      <c r="K19" s="68">
        <f>'SLR Raw'!M21</f>
        <v>464</v>
      </c>
      <c r="L19" s="68">
        <f>'SLR Raw'!N21</f>
        <v>152</v>
      </c>
      <c r="M19" s="68">
        <f>'SLR Raw'!O21</f>
        <v>755</v>
      </c>
      <c r="N19" s="68">
        <f>'SLR Raw'!P21</f>
        <v>271</v>
      </c>
      <c r="O19" s="68">
        <f>'SLR Raw'!Q21</f>
        <v>887</v>
      </c>
      <c r="P19" s="68">
        <f>'SLR Raw'!R21</f>
        <v>330</v>
      </c>
      <c r="Q19" s="68">
        <f>'SLR Raw'!S21</f>
        <v>1125</v>
      </c>
      <c r="R19" s="68">
        <f>'SLR Raw'!T21</f>
        <v>456</v>
      </c>
      <c r="S19" s="68">
        <f>'SLR Raw'!U21</f>
        <v>1386</v>
      </c>
      <c r="T19" s="68">
        <f>'SLR Raw'!V21</f>
        <v>586</v>
      </c>
      <c r="U19" s="221">
        <f t="shared" si="1"/>
        <v>1972</v>
      </c>
      <c r="V19" s="12">
        <v>65644</v>
      </c>
      <c r="W19" s="215">
        <v>20110</v>
      </c>
      <c r="X19" s="74">
        <f>C19/'FEMA Flood Zones'!$J17</f>
        <v>6.0934738894643838E-5</v>
      </c>
      <c r="Y19" s="74">
        <f>D19/'FEMA Flood Zones'!$K17</f>
        <v>0</v>
      </c>
      <c r="Z19" s="72">
        <f>E19/'FEMA Flood Zones'!$J17</f>
        <v>6.0934738894643838E-5</v>
      </c>
      <c r="AA19" s="72">
        <f>F19/'FEMA Flood Zones'!$K17</f>
        <v>4.9726504226752858E-5</v>
      </c>
      <c r="AB19" s="72">
        <f>G19/'FEMA Flood Zones'!$J17</f>
        <v>1.3710316251294862E-4</v>
      </c>
      <c r="AC19" s="72">
        <f>H19/'FEMA Flood Zones'!$K17</f>
        <v>4.9726504226752858E-5</v>
      </c>
      <c r="AD19" s="72">
        <f>I19/'FEMA Flood Zones'!$J17</f>
        <v>1.2339284626165378E-3</v>
      </c>
      <c r="AE19" s="72">
        <f>J19/'FEMA Flood Zones'!$K17</f>
        <v>3.4808552958727002E-4</v>
      </c>
      <c r="AF19" s="72">
        <f>K19/'FEMA Flood Zones'!$J17</f>
        <v>7.0684297117786848E-3</v>
      </c>
      <c r="AG19" s="72">
        <f>L19/'FEMA Flood Zones'!$K17</f>
        <v>7.5584286424664349E-3</v>
      </c>
      <c r="AH19" s="72">
        <f>M19/'FEMA Flood Zones'!$J17</f>
        <v>1.1501431966364025E-2</v>
      </c>
      <c r="AI19" s="72">
        <f>N19/'FEMA Flood Zones'!$K17</f>
        <v>1.3475882645450025E-2</v>
      </c>
      <c r="AJ19" s="72">
        <f>O19/'FEMA Flood Zones'!$J17</f>
        <v>1.3512278349887271E-2</v>
      </c>
      <c r="AK19" s="72">
        <f>P19/'FEMA Flood Zones'!$K17</f>
        <v>1.6409746394828444E-2</v>
      </c>
      <c r="AL19" s="72">
        <f>Q19/'FEMA Flood Zones'!$J17</f>
        <v>1.7137895314118579E-2</v>
      </c>
      <c r="AM19" s="72">
        <f>R19/'FEMA Flood Zones'!$K17</f>
        <v>2.2675285927399303E-2</v>
      </c>
      <c r="AN19" s="72">
        <f>S19/'FEMA Flood Zones'!$J17</f>
        <v>2.1113887026994089E-2</v>
      </c>
      <c r="AO19" s="72">
        <f>T19/'FEMA Flood Zones'!$K17</f>
        <v>2.9139731476877175E-2</v>
      </c>
      <c r="AP19" s="224">
        <f t="shared" si="2"/>
        <v>2.2996011847843834E-2</v>
      </c>
      <c r="AQ19" s="4">
        <f t="shared" si="0"/>
        <v>18</v>
      </c>
      <c r="AR19" s="210">
        <f t="shared" si="3"/>
        <v>33</v>
      </c>
    </row>
    <row r="20" spans="1:44" x14ac:dyDescent="0.25">
      <c r="A20" s="2" t="s">
        <v>16</v>
      </c>
      <c r="B20" s="2" t="s">
        <v>25</v>
      </c>
      <c r="C20" s="68">
        <f>'SLR Raw'!C22</f>
        <v>0</v>
      </c>
      <c r="D20" s="68">
        <f>'SLR Raw'!D22</f>
        <v>0</v>
      </c>
      <c r="E20" s="68">
        <f>'SLR Raw'!E22</f>
        <v>0</v>
      </c>
      <c r="F20" s="68">
        <f>'SLR Raw'!F22</f>
        <v>0</v>
      </c>
      <c r="G20" s="68">
        <f>'SLR Raw'!G22</f>
        <v>0</v>
      </c>
      <c r="H20" s="68">
        <f>'SLR Raw'!H22</f>
        <v>0</v>
      </c>
      <c r="I20" s="68">
        <f>'SLR Raw'!I22</f>
        <v>0</v>
      </c>
      <c r="J20" s="68">
        <f>'SLR Raw'!J22</f>
        <v>0</v>
      </c>
      <c r="K20" s="68">
        <f>'SLR Raw'!M22</f>
        <v>0</v>
      </c>
      <c r="L20" s="68">
        <f>'SLR Raw'!N22</f>
        <v>0</v>
      </c>
      <c r="M20" s="68">
        <f>'SLR Raw'!O22</f>
        <v>0</v>
      </c>
      <c r="N20" s="68">
        <f>'SLR Raw'!P22</f>
        <v>0</v>
      </c>
      <c r="O20" s="68">
        <f>'SLR Raw'!Q22</f>
        <v>0</v>
      </c>
      <c r="P20" s="68">
        <f>'SLR Raw'!R22</f>
        <v>0</v>
      </c>
      <c r="Q20" s="68">
        <f>'SLR Raw'!S22</f>
        <v>0</v>
      </c>
      <c r="R20" s="68">
        <f>'SLR Raw'!T22</f>
        <v>0</v>
      </c>
      <c r="S20" s="68">
        <f>'SLR Raw'!U22</f>
        <v>0</v>
      </c>
      <c r="T20" s="68">
        <f>'SLR Raw'!V22</f>
        <v>0</v>
      </c>
      <c r="U20" s="221">
        <f t="shared" si="1"/>
        <v>0</v>
      </c>
      <c r="V20" s="12">
        <v>3712</v>
      </c>
      <c r="W20" s="215">
        <v>84</v>
      </c>
      <c r="X20" s="74">
        <f>C20/'FEMA Flood Zones'!$J18</f>
        <v>0</v>
      </c>
      <c r="Y20" s="74">
        <f>D20/'FEMA Flood Zones'!$K18</f>
        <v>0</v>
      </c>
      <c r="Z20" s="72">
        <f>E20/'FEMA Flood Zones'!$J18</f>
        <v>0</v>
      </c>
      <c r="AA20" s="72">
        <f>F20/'FEMA Flood Zones'!$K18</f>
        <v>0</v>
      </c>
      <c r="AB20" s="72">
        <f>G20/'FEMA Flood Zones'!$J18</f>
        <v>0</v>
      </c>
      <c r="AC20" s="72">
        <f>H20/'FEMA Flood Zones'!$K18</f>
        <v>0</v>
      </c>
      <c r="AD20" s="72">
        <f>I20/'FEMA Flood Zones'!$J18</f>
        <v>0</v>
      </c>
      <c r="AE20" s="72">
        <f>J20/'FEMA Flood Zones'!$K18</f>
        <v>0</v>
      </c>
      <c r="AF20" s="72">
        <f>K20/'FEMA Flood Zones'!$J18</f>
        <v>0</v>
      </c>
      <c r="AG20" s="72">
        <f>L20/'FEMA Flood Zones'!$K18</f>
        <v>0</v>
      </c>
      <c r="AH20" s="72">
        <f>M20/'FEMA Flood Zones'!$J18</f>
        <v>0</v>
      </c>
      <c r="AI20" s="72">
        <f>N20/'FEMA Flood Zones'!$K18</f>
        <v>0</v>
      </c>
      <c r="AJ20" s="72">
        <f>O20/'FEMA Flood Zones'!$J18</f>
        <v>0</v>
      </c>
      <c r="AK20" s="72">
        <f>P20/'FEMA Flood Zones'!$K18</f>
        <v>0</v>
      </c>
      <c r="AL20" s="72">
        <f>Q20/'FEMA Flood Zones'!$J18</f>
        <v>0</v>
      </c>
      <c r="AM20" s="72">
        <f>R20/'FEMA Flood Zones'!$K18</f>
        <v>0</v>
      </c>
      <c r="AN20" s="72">
        <f>S20/'FEMA Flood Zones'!$J18</f>
        <v>0</v>
      </c>
      <c r="AO20" s="72">
        <f>T20/'FEMA Flood Zones'!$K18</f>
        <v>0</v>
      </c>
      <c r="AP20" s="224">
        <f t="shared" si="2"/>
        <v>0</v>
      </c>
      <c r="AQ20" s="4">
        <f t="shared" si="0"/>
        <v>60</v>
      </c>
      <c r="AR20" s="210">
        <f t="shared" si="3"/>
        <v>60</v>
      </c>
    </row>
    <row r="21" spans="1:44" x14ac:dyDescent="0.25">
      <c r="A21" s="2" t="s">
        <v>16</v>
      </c>
      <c r="B21" s="2" t="s">
        <v>26</v>
      </c>
      <c r="C21" s="68">
        <f>'SLR Raw'!C23</f>
        <v>0</v>
      </c>
      <c r="D21" s="68">
        <f>'SLR Raw'!D23</f>
        <v>0</v>
      </c>
      <c r="E21" s="68">
        <f>'SLR Raw'!E23</f>
        <v>0</v>
      </c>
      <c r="F21" s="68">
        <f>'SLR Raw'!F23</f>
        <v>0</v>
      </c>
      <c r="G21" s="68">
        <f>'SLR Raw'!G23</f>
        <v>0</v>
      </c>
      <c r="H21" s="68">
        <f>'SLR Raw'!H23</f>
        <v>0</v>
      </c>
      <c r="I21" s="68">
        <f>'SLR Raw'!I23</f>
        <v>0</v>
      </c>
      <c r="J21" s="68">
        <f>'SLR Raw'!J23</f>
        <v>0</v>
      </c>
      <c r="K21" s="68">
        <f>'SLR Raw'!M23</f>
        <v>0</v>
      </c>
      <c r="L21" s="68">
        <f>'SLR Raw'!N23</f>
        <v>0</v>
      </c>
      <c r="M21" s="68">
        <f>'SLR Raw'!O23</f>
        <v>0</v>
      </c>
      <c r="N21" s="68">
        <f>'SLR Raw'!P23</f>
        <v>0</v>
      </c>
      <c r="O21" s="68">
        <f>'SLR Raw'!Q23</f>
        <v>0</v>
      </c>
      <c r="P21" s="68">
        <f>'SLR Raw'!R23</f>
        <v>0</v>
      </c>
      <c r="Q21" s="68">
        <f>'SLR Raw'!S23</f>
        <v>0</v>
      </c>
      <c r="R21" s="68">
        <f>'SLR Raw'!T23</f>
        <v>0</v>
      </c>
      <c r="S21" s="68">
        <f>'SLR Raw'!U23</f>
        <v>0</v>
      </c>
      <c r="T21" s="68">
        <f>'SLR Raw'!V23</f>
        <v>0</v>
      </c>
      <c r="U21" s="221">
        <f t="shared" si="1"/>
        <v>0</v>
      </c>
      <c r="V21" s="12">
        <v>19688</v>
      </c>
      <c r="W21" s="215">
        <v>521</v>
      </c>
      <c r="X21" s="74">
        <f>C21/'FEMA Flood Zones'!$J19</f>
        <v>0</v>
      </c>
      <c r="Y21" s="74">
        <f>D21/'FEMA Flood Zones'!$K19</f>
        <v>0</v>
      </c>
      <c r="Z21" s="72">
        <f>E21/'FEMA Flood Zones'!$J19</f>
        <v>0</v>
      </c>
      <c r="AA21" s="72">
        <f>F21/'FEMA Flood Zones'!$K19</f>
        <v>0</v>
      </c>
      <c r="AB21" s="72">
        <f>G21/'FEMA Flood Zones'!$J19</f>
        <v>0</v>
      </c>
      <c r="AC21" s="72">
        <f>H21/'FEMA Flood Zones'!$K19</f>
        <v>0</v>
      </c>
      <c r="AD21" s="72">
        <f>I21/'FEMA Flood Zones'!$J19</f>
        <v>0</v>
      </c>
      <c r="AE21" s="72">
        <f>J21/'FEMA Flood Zones'!$K19</f>
        <v>0</v>
      </c>
      <c r="AF21" s="72">
        <f>K21/'FEMA Flood Zones'!$J19</f>
        <v>0</v>
      </c>
      <c r="AG21" s="72">
        <f>L21/'FEMA Flood Zones'!$K19</f>
        <v>0</v>
      </c>
      <c r="AH21" s="72">
        <f>M21/'FEMA Flood Zones'!$J19</f>
        <v>0</v>
      </c>
      <c r="AI21" s="72">
        <f>N21/'FEMA Flood Zones'!$K19</f>
        <v>0</v>
      </c>
      <c r="AJ21" s="72">
        <f>O21/'FEMA Flood Zones'!$J19</f>
        <v>0</v>
      </c>
      <c r="AK21" s="72">
        <f>P21/'FEMA Flood Zones'!$K19</f>
        <v>0</v>
      </c>
      <c r="AL21" s="72">
        <f>Q21/'FEMA Flood Zones'!$J19</f>
        <v>0</v>
      </c>
      <c r="AM21" s="72">
        <f>R21/'FEMA Flood Zones'!$K19</f>
        <v>0</v>
      </c>
      <c r="AN21" s="72">
        <f>S21/'FEMA Flood Zones'!$J19</f>
        <v>0</v>
      </c>
      <c r="AO21" s="72">
        <f>T21/'FEMA Flood Zones'!$K19</f>
        <v>0</v>
      </c>
      <c r="AP21" s="224">
        <f t="shared" si="2"/>
        <v>0</v>
      </c>
      <c r="AQ21" s="4">
        <f t="shared" si="0"/>
        <v>60</v>
      </c>
      <c r="AR21" s="210">
        <f t="shared" si="3"/>
        <v>60</v>
      </c>
    </row>
    <row r="22" spans="1:44" x14ac:dyDescent="0.25">
      <c r="A22" s="2" t="s">
        <v>16</v>
      </c>
      <c r="B22" s="2" t="s">
        <v>27</v>
      </c>
      <c r="C22" s="68">
        <f>'SLR Raw'!C24</f>
        <v>0</v>
      </c>
      <c r="D22" s="68">
        <f>'SLR Raw'!D24</f>
        <v>0</v>
      </c>
      <c r="E22" s="68">
        <f>'SLR Raw'!E24</f>
        <v>1</v>
      </c>
      <c r="F22" s="68">
        <f>'SLR Raw'!F24</f>
        <v>1</v>
      </c>
      <c r="G22" s="68">
        <f>'SLR Raw'!G24</f>
        <v>3</v>
      </c>
      <c r="H22" s="68">
        <f>'SLR Raw'!H24</f>
        <v>4</v>
      </c>
      <c r="I22" s="68">
        <f>'SLR Raw'!I24</f>
        <v>500</v>
      </c>
      <c r="J22" s="68">
        <f>'SLR Raw'!J24</f>
        <v>49</v>
      </c>
      <c r="K22" s="68">
        <f>'SLR Raw'!M24</f>
        <v>915</v>
      </c>
      <c r="L22" s="68">
        <f>'SLR Raw'!N24</f>
        <v>92</v>
      </c>
      <c r="M22" s="68">
        <f>'SLR Raw'!O24</f>
        <v>1639</v>
      </c>
      <c r="N22" s="68">
        <f>'SLR Raw'!P24</f>
        <v>121</v>
      </c>
      <c r="O22" s="68">
        <f>'SLR Raw'!Q24</f>
        <v>2139</v>
      </c>
      <c r="P22" s="68">
        <f>'SLR Raw'!R24</f>
        <v>139</v>
      </c>
      <c r="Q22" s="68">
        <f>'SLR Raw'!S24</f>
        <v>2920</v>
      </c>
      <c r="R22" s="68">
        <f>'SLR Raw'!T24</f>
        <v>157</v>
      </c>
      <c r="S22" s="68">
        <f>'SLR Raw'!U24</f>
        <v>3433</v>
      </c>
      <c r="T22" s="68">
        <f>'SLR Raw'!V24</f>
        <v>185</v>
      </c>
      <c r="U22" s="221">
        <f t="shared" si="1"/>
        <v>3618</v>
      </c>
      <c r="V22" s="12">
        <v>18902</v>
      </c>
      <c r="W22" s="215">
        <v>1671</v>
      </c>
      <c r="X22" s="74">
        <f>C22/'FEMA Flood Zones'!$J20</f>
        <v>0</v>
      </c>
      <c r="Y22" s="74">
        <f>D22/'FEMA Flood Zones'!$K20</f>
        <v>0</v>
      </c>
      <c r="Z22" s="72">
        <f>E22/'FEMA Flood Zones'!$J20</f>
        <v>5.290445455507354E-5</v>
      </c>
      <c r="AA22" s="72">
        <f>F22/'FEMA Flood Zones'!$K20</f>
        <v>5.9844404548174744E-4</v>
      </c>
      <c r="AB22" s="72">
        <f>G22/'FEMA Flood Zones'!$J20</f>
        <v>1.587133636652206E-4</v>
      </c>
      <c r="AC22" s="72">
        <f>H22/'FEMA Flood Zones'!$K20</f>
        <v>2.3937761819269898E-3</v>
      </c>
      <c r="AD22" s="72">
        <f>I22/'FEMA Flood Zones'!$J20</f>
        <v>2.645222727753677E-2</v>
      </c>
      <c r="AE22" s="72">
        <f>J22/'FEMA Flood Zones'!$K20</f>
        <v>2.9323758228605626E-2</v>
      </c>
      <c r="AF22" s="72">
        <f>K22/'FEMA Flood Zones'!$J20</f>
        <v>4.8407575917892284E-2</v>
      </c>
      <c r="AG22" s="72">
        <f>L22/'FEMA Flood Zones'!$K20</f>
        <v>5.5056852184320763E-2</v>
      </c>
      <c r="AH22" s="72">
        <f>M22/'FEMA Flood Zones'!$J20</f>
        <v>8.6710401015765534E-2</v>
      </c>
      <c r="AI22" s="72">
        <f>N22/'FEMA Flood Zones'!$K20</f>
        <v>7.2411729503291444E-2</v>
      </c>
      <c r="AJ22" s="72">
        <f>O22/'FEMA Flood Zones'!$J20</f>
        <v>0.1131626282933023</v>
      </c>
      <c r="AK22" s="72">
        <f>P22/'FEMA Flood Zones'!$K20</f>
        <v>8.3183722321962902E-2</v>
      </c>
      <c r="AL22" s="72">
        <f>Q22/'FEMA Flood Zones'!$J20</f>
        <v>0.15448100730081474</v>
      </c>
      <c r="AM22" s="72">
        <f>R22/'FEMA Flood Zones'!$K20</f>
        <v>9.3955715140634347E-2</v>
      </c>
      <c r="AN22" s="72">
        <f>S22/'FEMA Flood Zones'!$J20</f>
        <v>0.18162099248756744</v>
      </c>
      <c r="AO22" s="72">
        <f>T22/'FEMA Flood Zones'!$K20</f>
        <v>0.11071214841412327</v>
      </c>
      <c r="AP22" s="224">
        <f t="shared" si="2"/>
        <v>0.17586156613036505</v>
      </c>
      <c r="AQ22" s="4">
        <f t="shared" si="0"/>
        <v>7</v>
      </c>
      <c r="AR22" s="210">
        <f t="shared" si="3"/>
        <v>14</v>
      </c>
    </row>
    <row r="23" spans="1:44" x14ac:dyDescent="0.25">
      <c r="A23" s="2" t="s">
        <v>16</v>
      </c>
      <c r="B23" s="2" t="s">
        <v>28</v>
      </c>
      <c r="C23" s="68">
        <f>'SLR Raw'!C25</f>
        <v>0</v>
      </c>
      <c r="D23" s="68">
        <f>'SLR Raw'!D25</f>
        <v>0</v>
      </c>
      <c r="E23" s="68">
        <f>'SLR Raw'!E25</f>
        <v>0</v>
      </c>
      <c r="F23" s="68">
        <f>'SLR Raw'!F25</f>
        <v>0</v>
      </c>
      <c r="G23" s="68">
        <f>'SLR Raw'!G25</f>
        <v>0</v>
      </c>
      <c r="H23" s="68">
        <f>'SLR Raw'!H25</f>
        <v>0</v>
      </c>
      <c r="I23" s="68">
        <f>'SLR Raw'!I25</f>
        <v>0</v>
      </c>
      <c r="J23" s="68">
        <f>'SLR Raw'!J25</f>
        <v>0</v>
      </c>
      <c r="K23" s="68">
        <f>'SLR Raw'!M25</f>
        <v>0</v>
      </c>
      <c r="L23" s="68">
        <f>'SLR Raw'!N25</f>
        <v>0</v>
      </c>
      <c r="M23" s="68">
        <f>'SLR Raw'!O25</f>
        <v>572</v>
      </c>
      <c r="N23" s="68">
        <f>'SLR Raw'!P25</f>
        <v>0</v>
      </c>
      <c r="O23" s="68">
        <f>'SLR Raw'!Q25</f>
        <v>886</v>
      </c>
      <c r="P23" s="68">
        <f>'SLR Raw'!R25</f>
        <v>1</v>
      </c>
      <c r="Q23" s="68">
        <f>'SLR Raw'!S25</f>
        <v>1248</v>
      </c>
      <c r="R23" s="68">
        <f>'SLR Raw'!T25</f>
        <v>1</v>
      </c>
      <c r="S23" s="68">
        <f>'SLR Raw'!U25</f>
        <v>1485</v>
      </c>
      <c r="T23" s="68">
        <f>'SLR Raw'!V25</f>
        <v>1</v>
      </c>
      <c r="U23" s="221">
        <f t="shared" si="1"/>
        <v>1486</v>
      </c>
      <c r="V23" s="12">
        <v>32992</v>
      </c>
      <c r="W23" s="215">
        <v>2805</v>
      </c>
      <c r="X23" s="74">
        <f>C23/'FEMA Flood Zones'!$J21</f>
        <v>0</v>
      </c>
      <c r="Y23" s="74">
        <f>D23/'FEMA Flood Zones'!$K21</f>
        <v>0</v>
      </c>
      <c r="Z23" s="72">
        <f>E23/'FEMA Flood Zones'!$J21</f>
        <v>0</v>
      </c>
      <c r="AA23" s="72">
        <f>F23/'FEMA Flood Zones'!$K21</f>
        <v>0</v>
      </c>
      <c r="AB23" s="72">
        <f>G23/'FEMA Flood Zones'!$J21</f>
        <v>0</v>
      </c>
      <c r="AC23" s="72">
        <f>H23/'FEMA Flood Zones'!$K21</f>
        <v>0</v>
      </c>
      <c r="AD23" s="72">
        <f>I23/'FEMA Flood Zones'!$J21</f>
        <v>0</v>
      </c>
      <c r="AE23" s="72">
        <f>J23/'FEMA Flood Zones'!$K21</f>
        <v>0</v>
      </c>
      <c r="AF23" s="72">
        <f>K23/'FEMA Flood Zones'!$J21</f>
        <v>0</v>
      </c>
      <c r="AG23" s="72">
        <f>L23/'FEMA Flood Zones'!$K21</f>
        <v>0</v>
      </c>
      <c r="AH23" s="72">
        <f>M23/'FEMA Flood Zones'!$J21</f>
        <v>1.7337536372453929E-2</v>
      </c>
      <c r="AI23" s="72">
        <f>N23/'FEMA Flood Zones'!$K21</f>
        <v>0</v>
      </c>
      <c r="AJ23" s="72">
        <f>O23/'FEMA Flood Zones'!$J21</f>
        <v>2.6854995150339477E-2</v>
      </c>
      <c r="AK23" s="72">
        <f>P23/'FEMA Flood Zones'!$K21</f>
        <v>3.5650623885918003E-4</v>
      </c>
      <c r="AL23" s="72">
        <f>Q23/'FEMA Flood Zones'!$J21</f>
        <v>3.7827352085354024E-2</v>
      </c>
      <c r="AM23" s="72">
        <f>R23/'FEMA Flood Zones'!$K21</f>
        <v>3.5650623885918003E-4</v>
      </c>
      <c r="AN23" s="72">
        <f>S23/'FEMA Flood Zones'!$J21</f>
        <v>4.5010911736178466E-2</v>
      </c>
      <c r="AO23" s="72">
        <f>T23/'FEMA Flood Zones'!$K21</f>
        <v>3.5650623885918003E-4</v>
      </c>
      <c r="AP23" s="224">
        <f t="shared" si="2"/>
        <v>4.1511858535631475E-2</v>
      </c>
      <c r="AQ23" s="4">
        <f t="shared" si="0"/>
        <v>16</v>
      </c>
      <c r="AR23" s="210">
        <f t="shared" si="3"/>
        <v>27</v>
      </c>
    </row>
    <row r="24" spans="1:44" x14ac:dyDescent="0.25">
      <c r="A24" s="15" t="s">
        <v>16</v>
      </c>
      <c r="B24" s="16" t="s">
        <v>29</v>
      </c>
      <c r="C24" s="69">
        <f>'SLR Raw'!C26</f>
        <v>0</v>
      </c>
      <c r="D24" s="69">
        <f>'SLR Raw'!D26</f>
        <v>0</v>
      </c>
      <c r="E24" s="69">
        <f>'SLR Raw'!E26</f>
        <v>35</v>
      </c>
      <c r="F24" s="69">
        <f>'SLR Raw'!F26</f>
        <v>11</v>
      </c>
      <c r="G24" s="69">
        <f>'SLR Raw'!G26</f>
        <v>336</v>
      </c>
      <c r="H24" s="69">
        <f>'SLR Raw'!H26</f>
        <v>22</v>
      </c>
      <c r="I24" s="69">
        <f>'SLR Raw'!I26</f>
        <v>864</v>
      </c>
      <c r="J24" s="69">
        <f>'SLR Raw'!J26</f>
        <v>39</v>
      </c>
      <c r="K24" s="69">
        <f>'SLR Raw'!M26</f>
        <v>4737</v>
      </c>
      <c r="L24" s="69">
        <f>'SLR Raw'!N26</f>
        <v>67</v>
      </c>
      <c r="M24" s="69">
        <f>'SLR Raw'!O26</f>
        <v>5464</v>
      </c>
      <c r="N24" s="69">
        <f>'SLR Raw'!P26</f>
        <v>72</v>
      </c>
      <c r="O24" s="69">
        <f>'SLR Raw'!Q26</f>
        <v>5768</v>
      </c>
      <c r="P24" s="69">
        <f>'SLR Raw'!R26</f>
        <v>77</v>
      </c>
      <c r="Q24" s="69">
        <f>'SLR Raw'!S26</f>
        <v>6471</v>
      </c>
      <c r="R24" s="69">
        <f>'SLR Raw'!T26</f>
        <v>90</v>
      </c>
      <c r="S24" s="69">
        <f>'SLR Raw'!U26</f>
        <v>7253</v>
      </c>
      <c r="T24" s="69">
        <f>'SLR Raw'!V26</f>
        <v>95</v>
      </c>
      <c r="U24" s="222">
        <f t="shared" si="1"/>
        <v>7348</v>
      </c>
      <c r="V24" s="17">
        <v>14245</v>
      </c>
      <c r="W24" s="216">
        <v>512</v>
      </c>
      <c r="X24" s="73">
        <f>C24/'FEMA Flood Zones'!$J22</f>
        <v>0</v>
      </c>
      <c r="Y24" s="73">
        <f>D24/'FEMA Flood Zones'!$K22</f>
        <v>0</v>
      </c>
      <c r="Z24" s="73">
        <f>E24/'FEMA Flood Zones'!$J22</f>
        <v>2.4570024570024569E-3</v>
      </c>
      <c r="AA24" s="73">
        <f>F24/'FEMA Flood Zones'!$K22</f>
        <v>2.1484375E-2</v>
      </c>
      <c r="AB24" s="73">
        <f>G24/'FEMA Flood Zones'!$J22</f>
        <v>2.3587223587223587E-2</v>
      </c>
      <c r="AC24" s="73">
        <f>H24/'FEMA Flood Zones'!$K22</f>
        <v>4.296875E-2</v>
      </c>
      <c r="AD24" s="73">
        <f>I24/'FEMA Flood Zones'!$J22</f>
        <v>6.065286065286065E-2</v>
      </c>
      <c r="AE24" s="73">
        <f>J24/'FEMA Flood Zones'!$K22</f>
        <v>7.6171875E-2</v>
      </c>
      <c r="AF24" s="73">
        <f>K24/'FEMA Flood Zones'!$J22</f>
        <v>0.33253773253773256</v>
      </c>
      <c r="AG24" s="73">
        <f>L24/'FEMA Flood Zones'!$K22</f>
        <v>0.130859375</v>
      </c>
      <c r="AH24" s="73">
        <f>M24/'FEMA Flood Zones'!$J22</f>
        <v>0.3835731835731836</v>
      </c>
      <c r="AI24" s="73">
        <f>N24/'FEMA Flood Zones'!$K22</f>
        <v>0.140625</v>
      </c>
      <c r="AJ24" s="73">
        <f>O24/'FEMA Flood Zones'!$J22</f>
        <v>0.40491400491400492</v>
      </c>
      <c r="AK24" s="73">
        <f>P24/'FEMA Flood Zones'!$K22</f>
        <v>0.150390625</v>
      </c>
      <c r="AL24" s="73">
        <f>Q24/'FEMA Flood Zones'!$J22</f>
        <v>0.45426465426465429</v>
      </c>
      <c r="AM24" s="73">
        <f>R24/'FEMA Flood Zones'!$K22</f>
        <v>0.17578125</v>
      </c>
      <c r="AN24" s="73">
        <f>S24/'FEMA Flood Zones'!$J22</f>
        <v>0.50916110916110913</v>
      </c>
      <c r="AO24" s="73">
        <f>T24/'FEMA Flood Zones'!$K22</f>
        <v>0.185546875</v>
      </c>
      <c r="AP24" s="225">
        <f t="shared" si="2"/>
        <v>0.49793318425154165</v>
      </c>
      <c r="AQ24" s="164">
        <f t="shared" si="0"/>
        <v>3</v>
      </c>
      <c r="AR24" s="211">
        <f t="shared" si="3"/>
        <v>4</v>
      </c>
    </row>
    <row r="25" spans="1:44" x14ac:dyDescent="0.25">
      <c r="A25" s="2" t="s">
        <v>30</v>
      </c>
      <c r="B25" s="123" t="s">
        <v>31</v>
      </c>
      <c r="C25" s="124">
        <f>'SLR Raw'!C27+'SLR Raw'!AQ27</f>
        <v>0</v>
      </c>
      <c r="D25" s="124">
        <f>'SLR Raw'!D27+'SLR Raw'!AR27</f>
        <v>0</v>
      </c>
      <c r="E25" s="124">
        <f>'SLR Raw'!E27+'SLR Raw'!AS27</f>
        <v>0</v>
      </c>
      <c r="F25" s="124">
        <f>'SLR Raw'!F27+'SLR Raw'!AT27</f>
        <v>0</v>
      </c>
      <c r="G25" s="124">
        <f>'SLR Raw'!G27+'SLR Raw'!AU27</f>
        <v>0</v>
      </c>
      <c r="H25" s="124">
        <f>'SLR Raw'!H27+'SLR Raw'!AV27</f>
        <v>0</v>
      </c>
      <c r="I25" s="124">
        <f>'SLR Raw'!I27</f>
        <v>0</v>
      </c>
      <c r="J25" s="124">
        <f>'SLR Raw'!J27</f>
        <v>0</v>
      </c>
      <c r="K25" s="124">
        <f>'SLR Raw'!M27</f>
        <v>0</v>
      </c>
      <c r="L25" s="124">
        <f>'SLR Raw'!N27</f>
        <v>0</v>
      </c>
      <c r="M25" s="124">
        <f>'SLR Raw'!O27</f>
        <v>0</v>
      </c>
      <c r="N25" s="124">
        <f>'SLR Raw'!P27</f>
        <v>0</v>
      </c>
      <c r="O25" s="124">
        <f>'SLR Raw'!Q27+'SLR Raw'!AW27</f>
        <v>112</v>
      </c>
      <c r="P25" s="124">
        <f>'SLR Raw'!R27+'SLR Raw'!AX27</f>
        <v>13</v>
      </c>
      <c r="Q25" s="68">
        <f>'SLR Raw'!S27</f>
        <v>0</v>
      </c>
      <c r="R25" s="68">
        <f>'SLR Raw'!T27</f>
        <v>0</v>
      </c>
      <c r="S25" s="68">
        <f>'SLR Raw'!U27</f>
        <v>0</v>
      </c>
      <c r="T25" s="68">
        <f>'SLR Raw'!V27</f>
        <v>0</v>
      </c>
      <c r="U25" s="221">
        <f t="shared" si="1"/>
        <v>0</v>
      </c>
      <c r="V25" s="12">
        <v>28409</v>
      </c>
      <c r="W25" s="12">
        <v>2625</v>
      </c>
      <c r="X25" s="75">
        <f>C25/'FEMA Flood Zones'!$J23</f>
        <v>0</v>
      </c>
      <c r="Y25" s="74">
        <f>D25/'FEMA Flood Zones'!$K23</f>
        <v>0</v>
      </c>
      <c r="Z25" s="74">
        <f>E25/'FEMA Flood Zones'!$J23</f>
        <v>0</v>
      </c>
      <c r="AA25" s="74">
        <f>F25/'FEMA Flood Zones'!$K23</f>
        <v>0</v>
      </c>
      <c r="AB25" s="74">
        <f>G25/'FEMA Flood Zones'!$J23</f>
        <v>0</v>
      </c>
      <c r="AC25" s="74">
        <f>H25/'FEMA Flood Zones'!$K23</f>
        <v>0</v>
      </c>
      <c r="AD25" s="74">
        <f>I25/'FEMA Flood Zones'!$J23</f>
        <v>0</v>
      </c>
      <c r="AE25" s="74">
        <f>J25/'FEMA Flood Zones'!$K23</f>
        <v>0</v>
      </c>
      <c r="AF25" s="74">
        <f>K25/'FEMA Flood Zones'!$J23</f>
        <v>0</v>
      </c>
      <c r="AG25" s="74">
        <f>L25/'FEMA Flood Zones'!$K23</f>
        <v>0</v>
      </c>
      <c r="AH25" s="74">
        <f>M25/'FEMA Flood Zones'!$J23</f>
        <v>0</v>
      </c>
      <c r="AI25" s="74">
        <f>N25/'FEMA Flood Zones'!$K23</f>
        <v>0</v>
      </c>
      <c r="AJ25" s="74">
        <f>O25/'FEMA Flood Zones'!$J23</f>
        <v>3.9424126157203707E-3</v>
      </c>
      <c r="AK25" s="74">
        <f>P25/'FEMA Flood Zones'!$K23</f>
        <v>4.952380952380952E-3</v>
      </c>
      <c r="AL25" s="74">
        <f>Q25/'FEMA Flood Zones'!$J23</f>
        <v>0</v>
      </c>
      <c r="AM25" s="74">
        <f>R25/'FEMA Flood Zones'!$K23</f>
        <v>0</v>
      </c>
      <c r="AN25" s="74">
        <f>S25/'FEMA Flood Zones'!$J23</f>
        <v>0</v>
      </c>
      <c r="AO25" s="74">
        <f>T25/'FEMA Flood Zones'!$K23</f>
        <v>0</v>
      </c>
      <c r="AP25" s="224">
        <f t="shared" si="2"/>
        <v>0</v>
      </c>
      <c r="AQ25" s="4">
        <f t="shared" si="0"/>
        <v>60</v>
      </c>
      <c r="AR25" s="210">
        <f t="shared" si="3"/>
        <v>60</v>
      </c>
    </row>
    <row r="26" spans="1:44" x14ac:dyDescent="0.25">
      <c r="A26" s="2" t="s">
        <v>30</v>
      </c>
      <c r="B26" s="2" t="s">
        <v>32</v>
      </c>
      <c r="C26" s="124">
        <f>'SLR Raw'!C28</f>
        <v>0</v>
      </c>
      <c r="D26" s="124">
        <f>'SLR Raw'!D28</f>
        <v>0</v>
      </c>
      <c r="E26" s="124">
        <f>'SLR Raw'!E28</f>
        <v>0</v>
      </c>
      <c r="F26" s="124">
        <f>'SLR Raw'!F28</f>
        <v>0</v>
      </c>
      <c r="G26" s="124">
        <f>'SLR Raw'!G28</f>
        <v>0</v>
      </c>
      <c r="H26" s="124">
        <f>'SLR Raw'!H28</f>
        <v>0</v>
      </c>
      <c r="I26" s="124">
        <f>'SLR Raw'!I28</f>
        <v>0</v>
      </c>
      <c r="J26" s="124">
        <f>'SLR Raw'!J28</f>
        <v>0</v>
      </c>
      <c r="K26" s="124">
        <f>'SLR Raw'!M28</f>
        <v>0</v>
      </c>
      <c r="L26" s="124">
        <f>'SLR Raw'!N28</f>
        <v>0</v>
      </c>
      <c r="M26" s="124">
        <f>'SLR Raw'!O28</f>
        <v>0</v>
      </c>
      <c r="N26" s="124">
        <f>'SLR Raw'!P28</f>
        <v>0</v>
      </c>
      <c r="O26" s="124">
        <f>'SLR Raw'!Q28</f>
        <v>0</v>
      </c>
      <c r="P26" s="124">
        <f>'SLR Raw'!R28</f>
        <v>0</v>
      </c>
      <c r="Q26" s="68">
        <f>'SLR Raw'!S28</f>
        <v>0</v>
      </c>
      <c r="R26" s="68">
        <f>'SLR Raw'!T28</f>
        <v>0</v>
      </c>
      <c r="S26" s="68">
        <f>'SLR Raw'!U28</f>
        <v>0</v>
      </c>
      <c r="T26" s="68">
        <f>'SLR Raw'!V28</f>
        <v>0</v>
      </c>
      <c r="U26" s="221">
        <f t="shared" si="1"/>
        <v>0</v>
      </c>
      <c r="V26" s="12">
        <v>19254</v>
      </c>
      <c r="W26" s="12">
        <v>398</v>
      </c>
      <c r="X26" s="75">
        <f>C26/'FEMA Flood Zones'!$J24</f>
        <v>0</v>
      </c>
      <c r="Y26" s="74">
        <f>D26/'FEMA Flood Zones'!$K24</f>
        <v>0</v>
      </c>
      <c r="Z26" s="74">
        <f>E26/'FEMA Flood Zones'!$J24</f>
        <v>0</v>
      </c>
      <c r="AA26" s="74">
        <f>F26/'FEMA Flood Zones'!$K24</f>
        <v>0</v>
      </c>
      <c r="AB26" s="74">
        <f>G26/'FEMA Flood Zones'!$J24</f>
        <v>0</v>
      </c>
      <c r="AC26" s="74">
        <f>H26/'FEMA Flood Zones'!$K24</f>
        <v>0</v>
      </c>
      <c r="AD26" s="74">
        <f>I26/'FEMA Flood Zones'!$J24</f>
        <v>0</v>
      </c>
      <c r="AE26" s="74">
        <f>J26/'FEMA Flood Zones'!$K24</f>
        <v>0</v>
      </c>
      <c r="AF26" s="74">
        <f>K26/'FEMA Flood Zones'!$J24</f>
        <v>0</v>
      </c>
      <c r="AG26" s="74">
        <f>L26/'FEMA Flood Zones'!$K24</f>
        <v>0</v>
      </c>
      <c r="AH26" s="74">
        <f>M26/'FEMA Flood Zones'!$J24</f>
        <v>0</v>
      </c>
      <c r="AI26" s="74">
        <f>N26/'FEMA Flood Zones'!$K24</f>
        <v>0</v>
      </c>
      <c r="AJ26" s="74">
        <f>O26/'FEMA Flood Zones'!$J24</f>
        <v>0</v>
      </c>
      <c r="AK26" s="74">
        <f>P26/'FEMA Flood Zones'!$K24</f>
        <v>0</v>
      </c>
      <c r="AL26" s="74">
        <f>Q26/'FEMA Flood Zones'!$J24</f>
        <v>0</v>
      </c>
      <c r="AM26" s="74">
        <f>R26/'FEMA Flood Zones'!$K24</f>
        <v>0</v>
      </c>
      <c r="AN26" s="74">
        <f>S26/'FEMA Flood Zones'!$J24</f>
        <v>0</v>
      </c>
      <c r="AO26" s="74">
        <f>T26/'FEMA Flood Zones'!$K24</f>
        <v>0</v>
      </c>
      <c r="AP26" s="224">
        <f t="shared" si="2"/>
        <v>0</v>
      </c>
      <c r="AQ26" s="4">
        <f t="shared" si="0"/>
        <v>60</v>
      </c>
      <c r="AR26" s="210">
        <f t="shared" si="3"/>
        <v>60</v>
      </c>
    </row>
    <row r="27" spans="1:44" x14ac:dyDescent="0.25">
      <c r="A27" s="2" t="s">
        <v>30</v>
      </c>
      <c r="B27" s="2" t="s">
        <v>33</v>
      </c>
      <c r="C27" s="124">
        <f>'SLR Raw'!C29</f>
        <v>0</v>
      </c>
      <c r="D27" s="124">
        <f>'SLR Raw'!D29</f>
        <v>0</v>
      </c>
      <c r="E27" s="124">
        <f>'SLR Raw'!E29</f>
        <v>0</v>
      </c>
      <c r="F27" s="124">
        <f>'SLR Raw'!F29</f>
        <v>0</v>
      </c>
      <c r="G27" s="124">
        <f>'SLR Raw'!G29</f>
        <v>0</v>
      </c>
      <c r="H27" s="124">
        <f>'SLR Raw'!H29</f>
        <v>0</v>
      </c>
      <c r="I27" s="124">
        <f>'SLR Raw'!I29</f>
        <v>0</v>
      </c>
      <c r="J27" s="124">
        <f>'SLR Raw'!J29</f>
        <v>0</v>
      </c>
      <c r="K27" s="124">
        <f>'SLR Raw'!M29</f>
        <v>0</v>
      </c>
      <c r="L27" s="124">
        <f>'SLR Raw'!N29</f>
        <v>0</v>
      </c>
      <c r="M27" s="124">
        <f>'SLR Raw'!O29</f>
        <v>0</v>
      </c>
      <c r="N27" s="124">
        <f>'SLR Raw'!P29</f>
        <v>0</v>
      </c>
      <c r="O27" s="124">
        <f>'SLR Raw'!Q29</f>
        <v>0</v>
      </c>
      <c r="P27" s="124">
        <f>'SLR Raw'!R29</f>
        <v>0</v>
      </c>
      <c r="Q27" s="68">
        <f>'SLR Raw'!S29</f>
        <v>0</v>
      </c>
      <c r="R27" s="68">
        <f>'SLR Raw'!T29</f>
        <v>0</v>
      </c>
      <c r="S27" s="68">
        <f>'SLR Raw'!U29</f>
        <v>1</v>
      </c>
      <c r="T27" s="68">
        <f>'SLR Raw'!V29</f>
        <v>0</v>
      </c>
      <c r="U27" s="221">
        <f t="shared" si="1"/>
        <v>1</v>
      </c>
      <c r="V27" s="12">
        <v>3359</v>
      </c>
      <c r="W27" s="12">
        <v>744</v>
      </c>
      <c r="X27" s="75">
        <f>C27/'FEMA Flood Zones'!$J25</f>
        <v>0</v>
      </c>
      <c r="Y27" s="74">
        <f>D27/'FEMA Flood Zones'!$K25</f>
        <v>0</v>
      </c>
      <c r="Z27" s="74">
        <f>E27/'FEMA Flood Zones'!$J25</f>
        <v>0</v>
      </c>
      <c r="AA27" s="74">
        <f>F27/'FEMA Flood Zones'!$K25</f>
        <v>0</v>
      </c>
      <c r="AB27" s="74">
        <f>G27/'FEMA Flood Zones'!$J25</f>
        <v>0</v>
      </c>
      <c r="AC27" s="74">
        <f>H27/'FEMA Flood Zones'!$K25</f>
        <v>0</v>
      </c>
      <c r="AD27" s="74">
        <f>I27/'FEMA Flood Zones'!$J25</f>
        <v>0</v>
      </c>
      <c r="AE27" s="74">
        <f>J27/'FEMA Flood Zones'!$K25</f>
        <v>0</v>
      </c>
      <c r="AF27" s="74">
        <f>K27/'FEMA Flood Zones'!$J25</f>
        <v>0</v>
      </c>
      <c r="AG27" s="74">
        <f>L27/'FEMA Flood Zones'!$K25</f>
        <v>0</v>
      </c>
      <c r="AH27" s="74">
        <f>M27/'FEMA Flood Zones'!$J25</f>
        <v>0</v>
      </c>
      <c r="AI27" s="74">
        <f>N27/'FEMA Flood Zones'!$K25</f>
        <v>0</v>
      </c>
      <c r="AJ27" s="74">
        <f>O27/'FEMA Flood Zones'!$J25</f>
        <v>0</v>
      </c>
      <c r="AK27" s="74">
        <f>P27/'FEMA Flood Zones'!$K25</f>
        <v>0</v>
      </c>
      <c r="AL27" s="74">
        <f>Q27/'FEMA Flood Zones'!$J25</f>
        <v>0</v>
      </c>
      <c r="AM27" s="74">
        <f>R27/'FEMA Flood Zones'!$K25</f>
        <v>0</v>
      </c>
      <c r="AN27" s="74">
        <f>S27/'FEMA Flood Zones'!$J25</f>
        <v>2.9770765108663293E-4</v>
      </c>
      <c r="AO27" s="74">
        <f>T27/'FEMA Flood Zones'!$K25</f>
        <v>0</v>
      </c>
      <c r="AP27" s="224">
        <f t="shared" si="2"/>
        <v>2.4372410431391665E-4</v>
      </c>
      <c r="AQ27" s="4">
        <f t="shared" si="0"/>
        <v>56</v>
      </c>
      <c r="AR27" s="210">
        <f t="shared" si="3"/>
        <v>58</v>
      </c>
    </row>
    <row r="28" spans="1:44" x14ac:dyDescent="0.25">
      <c r="A28" s="2" t="s">
        <v>30</v>
      </c>
      <c r="B28" s="2" t="s">
        <v>34</v>
      </c>
      <c r="C28" s="124">
        <f>'SLR Raw'!C30</f>
        <v>0</v>
      </c>
      <c r="D28" s="124">
        <f>'SLR Raw'!D30</f>
        <v>0</v>
      </c>
      <c r="E28" s="124">
        <f>'SLR Raw'!E30</f>
        <v>0</v>
      </c>
      <c r="F28" s="124">
        <f>'SLR Raw'!F30</f>
        <v>0</v>
      </c>
      <c r="G28" s="124">
        <f>'SLR Raw'!G30</f>
        <v>0</v>
      </c>
      <c r="H28" s="124">
        <f>'SLR Raw'!H30</f>
        <v>0</v>
      </c>
      <c r="I28" s="124">
        <f>'SLR Raw'!I30</f>
        <v>0</v>
      </c>
      <c r="J28" s="124">
        <f>'SLR Raw'!J30</f>
        <v>0</v>
      </c>
      <c r="K28" s="124">
        <f>'SLR Raw'!M30</f>
        <v>0</v>
      </c>
      <c r="L28" s="124">
        <f>'SLR Raw'!N30</f>
        <v>0</v>
      </c>
      <c r="M28" s="124">
        <f>'SLR Raw'!O30</f>
        <v>0</v>
      </c>
      <c r="N28" s="124">
        <f>'SLR Raw'!P30</f>
        <v>0</v>
      </c>
      <c r="O28" s="124">
        <f>'SLR Raw'!Q30</f>
        <v>0</v>
      </c>
      <c r="P28" s="124">
        <f>'SLR Raw'!R30</f>
        <v>0</v>
      </c>
      <c r="Q28" s="68">
        <f>'SLR Raw'!S30</f>
        <v>0</v>
      </c>
      <c r="R28" s="68">
        <f>'SLR Raw'!T30</f>
        <v>0</v>
      </c>
      <c r="S28" s="68">
        <f>'SLR Raw'!U30</f>
        <v>0</v>
      </c>
      <c r="T28" s="68">
        <f>'SLR Raw'!V30</f>
        <v>0</v>
      </c>
      <c r="U28" s="221">
        <f t="shared" si="1"/>
        <v>0</v>
      </c>
      <c r="V28" s="12">
        <v>28214</v>
      </c>
      <c r="W28" s="12">
        <v>7820</v>
      </c>
      <c r="X28" s="75">
        <f>C28/'FEMA Flood Zones'!$J26</f>
        <v>0</v>
      </c>
      <c r="Y28" s="74">
        <f>D28/'FEMA Flood Zones'!$K26</f>
        <v>0</v>
      </c>
      <c r="Z28" s="74">
        <f>E28/'FEMA Flood Zones'!$J26</f>
        <v>0</v>
      </c>
      <c r="AA28" s="74">
        <f>F28/'FEMA Flood Zones'!$K26</f>
        <v>0</v>
      </c>
      <c r="AB28" s="74">
        <f>G28/'FEMA Flood Zones'!$J26</f>
        <v>0</v>
      </c>
      <c r="AC28" s="74">
        <f>H28/'FEMA Flood Zones'!$K26</f>
        <v>0</v>
      </c>
      <c r="AD28" s="74">
        <f>I28/'FEMA Flood Zones'!$J26</f>
        <v>0</v>
      </c>
      <c r="AE28" s="74">
        <f>J28/'FEMA Flood Zones'!$K26</f>
        <v>0</v>
      </c>
      <c r="AF28" s="74">
        <f>K28/'FEMA Flood Zones'!$J26</f>
        <v>0</v>
      </c>
      <c r="AG28" s="74">
        <f>L28/'FEMA Flood Zones'!$K26</f>
        <v>0</v>
      </c>
      <c r="AH28" s="74">
        <f>M28/'FEMA Flood Zones'!$J26</f>
        <v>0</v>
      </c>
      <c r="AI28" s="74">
        <f>N28/'FEMA Flood Zones'!$K26</f>
        <v>0</v>
      </c>
      <c r="AJ28" s="74">
        <f>O28/'FEMA Flood Zones'!$J26</f>
        <v>0</v>
      </c>
      <c r="AK28" s="74">
        <f>P28/'FEMA Flood Zones'!$K26</f>
        <v>0</v>
      </c>
      <c r="AL28" s="74">
        <f>Q28/'FEMA Flood Zones'!$J26</f>
        <v>0</v>
      </c>
      <c r="AM28" s="74">
        <f>R28/'FEMA Flood Zones'!$K26</f>
        <v>0</v>
      </c>
      <c r="AN28" s="74">
        <f>S28/'FEMA Flood Zones'!$J26</f>
        <v>0</v>
      </c>
      <c r="AO28" s="74">
        <f>T28/'FEMA Flood Zones'!$K26</f>
        <v>0</v>
      </c>
      <c r="AP28" s="224">
        <f t="shared" si="2"/>
        <v>0</v>
      </c>
      <c r="AQ28" s="4">
        <f t="shared" si="0"/>
        <v>60</v>
      </c>
      <c r="AR28" s="210">
        <f t="shared" si="3"/>
        <v>60</v>
      </c>
    </row>
    <row r="29" spans="1:44" x14ac:dyDescent="0.25">
      <c r="A29" s="2" t="s">
        <v>30</v>
      </c>
      <c r="B29" s="2" t="s">
        <v>35</v>
      </c>
      <c r="C29" s="124">
        <f>'SLR Raw'!C31</f>
        <v>0</v>
      </c>
      <c r="D29" s="124">
        <f>'SLR Raw'!D31</f>
        <v>0</v>
      </c>
      <c r="E29" s="124">
        <f>'SLR Raw'!E31</f>
        <v>0</v>
      </c>
      <c r="F29" s="124">
        <f>'SLR Raw'!F31</f>
        <v>0</v>
      </c>
      <c r="G29" s="124">
        <f>'SLR Raw'!G31</f>
        <v>0</v>
      </c>
      <c r="H29" s="124">
        <f>'SLR Raw'!H31</f>
        <v>0</v>
      </c>
      <c r="I29" s="124">
        <f>'SLR Raw'!I31</f>
        <v>0</v>
      </c>
      <c r="J29" s="124">
        <f>'SLR Raw'!J31</f>
        <v>0</v>
      </c>
      <c r="K29" s="124">
        <f>'SLR Raw'!M31</f>
        <v>0</v>
      </c>
      <c r="L29" s="124">
        <f>'SLR Raw'!N31</f>
        <v>0</v>
      </c>
      <c r="M29" s="124">
        <f>'SLR Raw'!O31</f>
        <v>0</v>
      </c>
      <c r="N29" s="124">
        <f>'SLR Raw'!P31</f>
        <v>0</v>
      </c>
      <c r="O29" s="124">
        <f>'SLR Raw'!Q31</f>
        <v>0</v>
      </c>
      <c r="P29" s="124">
        <f>'SLR Raw'!R31</f>
        <v>0</v>
      </c>
      <c r="Q29" s="68">
        <f>'SLR Raw'!S31</f>
        <v>0</v>
      </c>
      <c r="R29" s="68">
        <f>'SLR Raw'!T31</f>
        <v>0</v>
      </c>
      <c r="S29" s="68">
        <f>'SLR Raw'!U31</f>
        <v>0</v>
      </c>
      <c r="T29" s="68">
        <f>'SLR Raw'!V31</f>
        <v>0</v>
      </c>
      <c r="U29" s="221">
        <f t="shared" si="1"/>
        <v>0</v>
      </c>
      <c r="V29" s="12">
        <v>12487</v>
      </c>
      <c r="W29" s="12">
        <v>3188</v>
      </c>
      <c r="X29" s="75">
        <f>C29/'FEMA Flood Zones'!$J27</f>
        <v>0</v>
      </c>
      <c r="Y29" s="74">
        <f>D29/'FEMA Flood Zones'!$K27</f>
        <v>0</v>
      </c>
      <c r="Z29" s="74">
        <f>E29/'FEMA Flood Zones'!$J27</f>
        <v>0</v>
      </c>
      <c r="AA29" s="74">
        <f>F29/'FEMA Flood Zones'!$K27</f>
        <v>0</v>
      </c>
      <c r="AB29" s="74">
        <f>G29/'FEMA Flood Zones'!$J27</f>
        <v>0</v>
      </c>
      <c r="AC29" s="74">
        <f>H29/'FEMA Flood Zones'!$K27</f>
        <v>0</v>
      </c>
      <c r="AD29" s="74">
        <f>I29/'FEMA Flood Zones'!$J27</f>
        <v>0</v>
      </c>
      <c r="AE29" s="74">
        <f>J29/'FEMA Flood Zones'!$K27</f>
        <v>0</v>
      </c>
      <c r="AF29" s="74">
        <f>K29/'FEMA Flood Zones'!$J27</f>
        <v>0</v>
      </c>
      <c r="AG29" s="74">
        <f>L29/'FEMA Flood Zones'!$K27</f>
        <v>0</v>
      </c>
      <c r="AH29" s="74">
        <f>M29/'FEMA Flood Zones'!$J27</f>
        <v>0</v>
      </c>
      <c r="AI29" s="74">
        <f>N29/'FEMA Flood Zones'!$K27</f>
        <v>0</v>
      </c>
      <c r="AJ29" s="74">
        <f>O29/'FEMA Flood Zones'!$J27</f>
        <v>0</v>
      </c>
      <c r="AK29" s="74">
        <f>P29/'FEMA Flood Zones'!$K27</f>
        <v>0</v>
      </c>
      <c r="AL29" s="74">
        <f>Q29/'FEMA Flood Zones'!$J27</f>
        <v>0</v>
      </c>
      <c r="AM29" s="74">
        <f>R29/'FEMA Flood Zones'!$K27</f>
        <v>0</v>
      </c>
      <c r="AN29" s="74">
        <f>S29/'FEMA Flood Zones'!$J27</f>
        <v>0</v>
      </c>
      <c r="AO29" s="74">
        <f>T29/'FEMA Flood Zones'!$K27</f>
        <v>0</v>
      </c>
      <c r="AP29" s="224">
        <f t="shared" si="2"/>
        <v>0</v>
      </c>
      <c r="AQ29" s="4">
        <f t="shared" si="0"/>
        <v>60</v>
      </c>
      <c r="AR29" s="210">
        <f t="shared" si="3"/>
        <v>60</v>
      </c>
    </row>
    <row r="30" spans="1:44" x14ac:dyDescent="0.25">
      <c r="A30" s="2" t="s">
        <v>30</v>
      </c>
      <c r="B30" s="2" t="s">
        <v>36</v>
      </c>
      <c r="C30" s="124">
        <f>'SLR Raw'!C32</f>
        <v>0</v>
      </c>
      <c r="D30" s="124">
        <f>'SLR Raw'!D32</f>
        <v>0</v>
      </c>
      <c r="E30" s="124">
        <f>'SLR Raw'!E32</f>
        <v>0</v>
      </c>
      <c r="F30" s="124">
        <f>'SLR Raw'!F32</f>
        <v>0</v>
      </c>
      <c r="G30" s="124">
        <f>'SLR Raw'!G32</f>
        <v>0</v>
      </c>
      <c r="H30" s="124">
        <f>'SLR Raw'!H32</f>
        <v>0</v>
      </c>
      <c r="I30" s="124">
        <f>'SLR Raw'!I32</f>
        <v>0</v>
      </c>
      <c r="J30" s="124">
        <f>'SLR Raw'!J32</f>
        <v>0</v>
      </c>
      <c r="K30" s="124">
        <f>'SLR Raw'!M32</f>
        <v>0</v>
      </c>
      <c r="L30" s="124">
        <f>'SLR Raw'!N32</f>
        <v>0</v>
      </c>
      <c r="M30" s="124">
        <f>'SLR Raw'!O32</f>
        <v>27</v>
      </c>
      <c r="N30" s="124">
        <f>'SLR Raw'!P32</f>
        <v>23</v>
      </c>
      <c r="O30" s="124">
        <f>'SLR Raw'!Q32</f>
        <v>32</v>
      </c>
      <c r="P30" s="124">
        <f>'SLR Raw'!R32</f>
        <v>30</v>
      </c>
      <c r="Q30" s="68">
        <f>'SLR Raw'!S32</f>
        <v>42</v>
      </c>
      <c r="R30" s="68">
        <f>'SLR Raw'!T32</f>
        <v>44</v>
      </c>
      <c r="S30" s="68">
        <f>'SLR Raw'!U32</f>
        <v>50</v>
      </c>
      <c r="T30" s="68">
        <f>'SLR Raw'!V32</f>
        <v>59</v>
      </c>
      <c r="U30" s="221">
        <f t="shared" si="1"/>
        <v>109</v>
      </c>
      <c r="V30" s="12">
        <v>7364</v>
      </c>
      <c r="W30" s="12">
        <v>860</v>
      </c>
      <c r="X30" s="75">
        <f>C30/'FEMA Flood Zones'!$J28</f>
        <v>0</v>
      </c>
      <c r="Y30" s="74">
        <f>D30/'FEMA Flood Zones'!$K28</f>
        <v>0</v>
      </c>
      <c r="Z30" s="74">
        <f>E30/'FEMA Flood Zones'!$J28</f>
        <v>0</v>
      </c>
      <c r="AA30" s="74">
        <f>F30/'FEMA Flood Zones'!$K28</f>
        <v>0</v>
      </c>
      <c r="AB30" s="74">
        <f>G30/'FEMA Flood Zones'!$J28</f>
        <v>0</v>
      </c>
      <c r="AC30" s="74">
        <f>H30/'FEMA Flood Zones'!$K28</f>
        <v>0</v>
      </c>
      <c r="AD30" s="74">
        <f>I30/'FEMA Flood Zones'!$J28</f>
        <v>0</v>
      </c>
      <c r="AE30" s="74">
        <f>J30/'FEMA Flood Zones'!$K28</f>
        <v>0</v>
      </c>
      <c r="AF30" s="74">
        <f>K30/'FEMA Flood Zones'!$J28</f>
        <v>0</v>
      </c>
      <c r="AG30" s="74">
        <f>L30/'FEMA Flood Zones'!$K28</f>
        <v>0</v>
      </c>
      <c r="AH30" s="74">
        <f>M30/'FEMA Flood Zones'!$J28</f>
        <v>3.6664856056491039E-3</v>
      </c>
      <c r="AI30" s="74">
        <f>N30/'FEMA Flood Zones'!$K28</f>
        <v>2.6744186046511628E-2</v>
      </c>
      <c r="AJ30" s="74">
        <f>O30/'FEMA Flood Zones'!$J28</f>
        <v>4.3454644215100485E-3</v>
      </c>
      <c r="AK30" s="74">
        <f>P30/'FEMA Flood Zones'!$K28</f>
        <v>3.4883720930232558E-2</v>
      </c>
      <c r="AL30" s="74">
        <f>Q30/'FEMA Flood Zones'!$J28</f>
        <v>5.7034220532319393E-3</v>
      </c>
      <c r="AM30" s="74">
        <f>R30/'FEMA Flood Zones'!$K28</f>
        <v>5.1162790697674418E-2</v>
      </c>
      <c r="AN30" s="74">
        <f>S30/'FEMA Flood Zones'!$J28</f>
        <v>6.7897881586094517E-3</v>
      </c>
      <c r="AO30" s="74">
        <f>T30/'FEMA Flood Zones'!$K28</f>
        <v>6.86046511627907E-2</v>
      </c>
      <c r="AP30" s="224">
        <f t="shared" si="2"/>
        <v>1.3253891050583657E-2</v>
      </c>
      <c r="AQ30" s="4">
        <f t="shared" si="0"/>
        <v>49</v>
      </c>
      <c r="AR30" s="210">
        <f t="shared" si="3"/>
        <v>44</v>
      </c>
    </row>
    <row r="31" spans="1:44" x14ac:dyDescent="0.25">
      <c r="A31" s="2" t="s">
        <v>30</v>
      </c>
      <c r="B31" s="2" t="s">
        <v>37</v>
      </c>
      <c r="C31" s="124">
        <f>'SLR Raw'!C33</f>
        <v>0</v>
      </c>
      <c r="D31" s="124">
        <f>'SLR Raw'!D33</f>
        <v>0</v>
      </c>
      <c r="E31" s="124">
        <f>'SLR Raw'!E33</f>
        <v>0</v>
      </c>
      <c r="F31" s="124">
        <f>'SLR Raw'!F33</f>
        <v>0</v>
      </c>
      <c r="G31" s="124">
        <f>'SLR Raw'!G33</f>
        <v>0</v>
      </c>
      <c r="H31" s="124">
        <f>'SLR Raw'!H33</f>
        <v>0</v>
      </c>
      <c r="I31" s="124">
        <f>'SLR Raw'!I33</f>
        <v>0</v>
      </c>
      <c r="J31" s="124">
        <f>'SLR Raw'!J33</f>
        <v>0</v>
      </c>
      <c r="K31" s="124">
        <f>'SLR Raw'!M33</f>
        <v>0</v>
      </c>
      <c r="L31" s="124">
        <f>'SLR Raw'!N33</f>
        <v>0</v>
      </c>
      <c r="M31" s="124">
        <f>'SLR Raw'!O33</f>
        <v>0</v>
      </c>
      <c r="N31" s="124">
        <f>'SLR Raw'!P33</f>
        <v>0</v>
      </c>
      <c r="O31" s="124">
        <f>'SLR Raw'!Q33</f>
        <v>0</v>
      </c>
      <c r="P31" s="124">
        <f>'SLR Raw'!R33</f>
        <v>0</v>
      </c>
      <c r="Q31" s="68">
        <f>'SLR Raw'!S33</f>
        <v>5</v>
      </c>
      <c r="R31" s="68">
        <f>'SLR Raw'!T33</f>
        <v>24</v>
      </c>
      <c r="S31" s="68">
        <f>'SLR Raw'!U33</f>
        <v>20</v>
      </c>
      <c r="T31" s="68">
        <f>'SLR Raw'!V33</f>
        <v>47</v>
      </c>
      <c r="U31" s="221">
        <f t="shared" si="1"/>
        <v>67</v>
      </c>
      <c r="V31" s="12">
        <v>5712</v>
      </c>
      <c r="W31" s="12">
        <v>2748</v>
      </c>
      <c r="X31" s="75">
        <f>C31/'FEMA Flood Zones'!$J29</f>
        <v>0</v>
      </c>
      <c r="Y31" s="74">
        <f>D31/'FEMA Flood Zones'!$K29</f>
        <v>0</v>
      </c>
      <c r="Z31" s="74">
        <f>E31/'FEMA Flood Zones'!$J29</f>
        <v>0</v>
      </c>
      <c r="AA31" s="74">
        <f>F31/'FEMA Flood Zones'!$K29</f>
        <v>0</v>
      </c>
      <c r="AB31" s="74">
        <f>G31/'FEMA Flood Zones'!$J29</f>
        <v>0</v>
      </c>
      <c r="AC31" s="74">
        <f>H31/'FEMA Flood Zones'!$K29</f>
        <v>0</v>
      </c>
      <c r="AD31" s="74">
        <f>I31/'FEMA Flood Zones'!$J29</f>
        <v>0</v>
      </c>
      <c r="AE31" s="74">
        <f>J31/'FEMA Flood Zones'!$K29</f>
        <v>0</v>
      </c>
      <c r="AF31" s="74">
        <f>K31/'FEMA Flood Zones'!$J29</f>
        <v>0</v>
      </c>
      <c r="AG31" s="74">
        <f>L31/'FEMA Flood Zones'!$K29</f>
        <v>0</v>
      </c>
      <c r="AH31" s="74">
        <f>M31/'FEMA Flood Zones'!$J29</f>
        <v>0</v>
      </c>
      <c r="AI31" s="74">
        <f>N31/'FEMA Flood Zones'!$K29</f>
        <v>0</v>
      </c>
      <c r="AJ31" s="74">
        <f>O31/'FEMA Flood Zones'!$J29</f>
        <v>0</v>
      </c>
      <c r="AK31" s="74">
        <f>P31/'FEMA Flood Zones'!$K29</f>
        <v>0</v>
      </c>
      <c r="AL31" s="74">
        <f>Q31/'FEMA Flood Zones'!$J29</f>
        <v>8.7535014005602244E-4</v>
      </c>
      <c r="AM31" s="74">
        <f>R31/'FEMA Flood Zones'!$K29</f>
        <v>8.7336244541484712E-3</v>
      </c>
      <c r="AN31" s="74">
        <f>S31/'FEMA Flood Zones'!$J29</f>
        <v>3.5014005602240898E-3</v>
      </c>
      <c r="AO31" s="74">
        <f>T31/'FEMA Flood Zones'!$K29</f>
        <v>1.710334788937409E-2</v>
      </c>
      <c r="AP31" s="224">
        <f t="shared" si="2"/>
        <v>7.9196217494089827E-3</v>
      </c>
      <c r="AQ31" s="4">
        <f t="shared" si="0"/>
        <v>51</v>
      </c>
      <c r="AR31" s="210">
        <f t="shared" si="3"/>
        <v>51</v>
      </c>
    </row>
    <row r="32" spans="1:44" x14ac:dyDescent="0.25">
      <c r="A32" s="2" t="s">
        <v>30</v>
      </c>
      <c r="B32" s="2" t="s">
        <v>38</v>
      </c>
      <c r="C32" s="124">
        <f>'SLR Raw'!C34</f>
        <v>0</v>
      </c>
      <c r="D32" s="124">
        <f>'SLR Raw'!D34</f>
        <v>0</v>
      </c>
      <c r="E32" s="124">
        <f>'SLR Raw'!E34</f>
        <v>0</v>
      </c>
      <c r="F32" s="124">
        <f>'SLR Raw'!F34</f>
        <v>0</v>
      </c>
      <c r="G32" s="124">
        <f>'SLR Raw'!G34</f>
        <v>0</v>
      </c>
      <c r="H32" s="124">
        <f>'SLR Raw'!H34</f>
        <v>0</v>
      </c>
      <c r="I32" s="124">
        <f>'SLR Raw'!I34</f>
        <v>0</v>
      </c>
      <c r="J32" s="124">
        <f>'SLR Raw'!J34</f>
        <v>0</v>
      </c>
      <c r="K32" s="124">
        <f>'SLR Raw'!M34</f>
        <v>0</v>
      </c>
      <c r="L32" s="124">
        <f>'SLR Raw'!N34</f>
        <v>0</v>
      </c>
      <c r="M32" s="124">
        <f>'SLR Raw'!O34</f>
        <v>0</v>
      </c>
      <c r="N32" s="124">
        <f>'SLR Raw'!P34</f>
        <v>0</v>
      </c>
      <c r="O32" s="124">
        <f>'SLR Raw'!Q34</f>
        <v>0</v>
      </c>
      <c r="P32" s="124">
        <f>'SLR Raw'!R34</f>
        <v>0</v>
      </c>
      <c r="Q32" s="68">
        <f>'SLR Raw'!S34</f>
        <v>0</v>
      </c>
      <c r="R32" s="68">
        <f>'SLR Raw'!T34</f>
        <v>0</v>
      </c>
      <c r="S32" s="68">
        <f>'SLR Raw'!U34</f>
        <v>0</v>
      </c>
      <c r="T32" s="68">
        <f>'SLR Raw'!V34</f>
        <v>0</v>
      </c>
      <c r="U32" s="221">
        <f t="shared" si="1"/>
        <v>0</v>
      </c>
      <c r="V32" s="12">
        <v>7813</v>
      </c>
      <c r="W32" s="12">
        <v>527</v>
      </c>
      <c r="X32" s="75">
        <f>C32/'FEMA Flood Zones'!$J30</f>
        <v>0</v>
      </c>
      <c r="Y32" s="74">
        <f>D32/'FEMA Flood Zones'!$K30</f>
        <v>0</v>
      </c>
      <c r="Z32" s="74">
        <f>E32/'FEMA Flood Zones'!$J30</f>
        <v>0</v>
      </c>
      <c r="AA32" s="74">
        <f>F32/'FEMA Flood Zones'!$K30</f>
        <v>0</v>
      </c>
      <c r="AB32" s="74">
        <f>G32/'FEMA Flood Zones'!$J30</f>
        <v>0</v>
      </c>
      <c r="AC32" s="74">
        <f>H32/'FEMA Flood Zones'!$K30</f>
        <v>0</v>
      </c>
      <c r="AD32" s="74">
        <f>I32/'FEMA Flood Zones'!$J30</f>
        <v>0</v>
      </c>
      <c r="AE32" s="74">
        <f>J32/'FEMA Flood Zones'!$K30</f>
        <v>0</v>
      </c>
      <c r="AF32" s="74">
        <f>K32/'FEMA Flood Zones'!$J30</f>
        <v>0</v>
      </c>
      <c r="AG32" s="74">
        <f>L32/'FEMA Flood Zones'!$K30</f>
        <v>0</v>
      </c>
      <c r="AH32" s="74">
        <f>M32/'FEMA Flood Zones'!$J30</f>
        <v>0</v>
      </c>
      <c r="AI32" s="74">
        <f>N32/'FEMA Flood Zones'!$K30</f>
        <v>0</v>
      </c>
      <c r="AJ32" s="74">
        <f>O32/'FEMA Flood Zones'!$J30</f>
        <v>0</v>
      </c>
      <c r="AK32" s="74">
        <f>P32/'FEMA Flood Zones'!$K30</f>
        <v>0</v>
      </c>
      <c r="AL32" s="74">
        <f>Q32/'FEMA Flood Zones'!$J30</f>
        <v>0</v>
      </c>
      <c r="AM32" s="74">
        <f>R32/'FEMA Flood Zones'!$K30</f>
        <v>0</v>
      </c>
      <c r="AN32" s="74">
        <f>S32/'FEMA Flood Zones'!$J30</f>
        <v>0</v>
      </c>
      <c r="AO32" s="74">
        <f>T32/'FEMA Flood Zones'!$K30</f>
        <v>0</v>
      </c>
      <c r="AP32" s="224">
        <f t="shared" si="2"/>
        <v>0</v>
      </c>
      <c r="AQ32" s="4">
        <f t="shared" si="0"/>
        <v>60</v>
      </c>
      <c r="AR32" s="210">
        <f t="shared" si="3"/>
        <v>60</v>
      </c>
    </row>
    <row r="33" spans="1:44" x14ac:dyDescent="0.25">
      <c r="A33" s="2" t="s">
        <v>30</v>
      </c>
      <c r="B33" s="2" t="s">
        <v>39</v>
      </c>
      <c r="C33" s="124">
        <f>'SLR Raw'!C35</f>
        <v>0</v>
      </c>
      <c r="D33" s="124">
        <f>'SLR Raw'!D35</f>
        <v>0</v>
      </c>
      <c r="E33" s="124">
        <f>'SLR Raw'!E35</f>
        <v>0</v>
      </c>
      <c r="F33" s="124">
        <f>'SLR Raw'!F35</f>
        <v>0</v>
      </c>
      <c r="G33" s="124">
        <f>'SLR Raw'!G35</f>
        <v>1</v>
      </c>
      <c r="H33" s="124">
        <f>'SLR Raw'!H35</f>
        <v>1</v>
      </c>
      <c r="I33" s="124">
        <f>'SLR Raw'!I35</f>
        <v>3</v>
      </c>
      <c r="J33" s="124">
        <f>'SLR Raw'!J35</f>
        <v>3</v>
      </c>
      <c r="K33" s="124">
        <f>'SLR Raw'!M35</f>
        <v>4</v>
      </c>
      <c r="L33" s="124">
        <f>'SLR Raw'!N35</f>
        <v>4</v>
      </c>
      <c r="M33" s="124">
        <f>'SLR Raw'!O35</f>
        <v>6</v>
      </c>
      <c r="N33" s="124">
        <f>'SLR Raw'!P35</f>
        <v>6</v>
      </c>
      <c r="O33" s="124">
        <f>'SLR Raw'!Q35</f>
        <v>8</v>
      </c>
      <c r="P33" s="124">
        <f>'SLR Raw'!R35</f>
        <v>8</v>
      </c>
      <c r="Q33" s="68">
        <f>'SLR Raw'!S35</f>
        <v>9</v>
      </c>
      <c r="R33" s="68">
        <f>'SLR Raw'!T35</f>
        <v>11</v>
      </c>
      <c r="S33" s="68">
        <f>'SLR Raw'!U35</f>
        <v>12</v>
      </c>
      <c r="T33" s="68">
        <f>'SLR Raw'!V35</f>
        <v>14</v>
      </c>
      <c r="U33" s="221">
        <f t="shared" si="1"/>
        <v>26</v>
      </c>
      <c r="V33" s="12">
        <v>9617</v>
      </c>
      <c r="W33" s="12">
        <v>2899</v>
      </c>
      <c r="X33" s="75">
        <f>C33/'FEMA Flood Zones'!$J31</f>
        <v>0</v>
      </c>
      <c r="Y33" s="74">
        <f>D33/'FEMA Flood Zones'!$K31</f>
        <v>0</v>
      </c>
      <c r="Z33" s="74">
        <f>E33/'FEMA Flood Zones'!$J31</f>
        <v>0</v>
      </c>
      <c r="AA33" s="74">
        <f>F33/'FEMA Flood Zones'!$K31</f>
        <v>0</v>
      </c>
      <c r="AB33" s="74">
        <f>G33/'FEMA Flood Zones'!$J31</f>
        <v>1.0398253093480295E-4</v>
      </c>
      <c r="AC33" s="74">
        <f>H33/'FEMA Flood Zones'!$K31</f>
        <v>3.4494653328734045E-4</v>
      </c>
      <c r="AD33" s="74">
        <f>I33/'FEMA Flood Zones'!$J31</f>
        <v>3.1194759280440883E-4</v>
      </c>
      <c r="AE33" s="74">
        <f>J33/'FEMA Flood Zones'!$K31</f>
        <v>1.0348395998620215E-3</v>
      </c>
      <c r="AF33" s="74">
        <f>K33/'FEMA Flood Zones'!$J31</f>
        <v>4.1593012373921181E-4</v>
      </c>
      <c r="AG33" s="74">
        <f>L33/'FEMA Flood Zones'!$K31</f>
        <v>1.3797861331493618E-3</v>
      </c>
      <c r="AH33" s="74">
        <f>M33/'FEMA Flood Zones'!$J31</f>
        <v>6.2389518560881767E-4</v>
      </c>
      <c r="AI33" s="74">
        <f>N33/'FEMA Flood Zones'!$K31</f>
        <v>2.0696791997240429E-3</v>
      </c>
      <c r="AJ33" s="74">
        <f>O33/'FEMA Flood Zones'!$J31</f>
        <v>8.3186024747842363E-4</v>
      </c>
      <c r="AK33" s="74">
        <f>P33/'FEMA Flood Zones'!$K31</f>
        <v>2.7595722662987236E-3</v>
      </c>
      <c r="AL33" s="74">
        <f>Q33/'FEMA Flood Zones'!$J31</f>
        <v>9.3584277841322655E-4</v>
      </c>
      <c r="AM33" s="74">
        <f>R33/'FEMA Flood Zones'!$K31</f>
        <v>3.7944118661607453E-3</v>
      </c>
      <c r="AN33" s="74">
        <f>S33/'FEMA Flood Zones'!$J31</f>
        <v>1.2477903712176353E-3</v>
      </c>
      <c r="AO33" s="74">
        <f>T33/'FEMA Flood Zones'!$K31</f>
        <v>4.8292514660227661E-3</v>
      </c>
      <c r="AP33" s="224">
        <f t="shared" si="2"/>
        <v>2.0773410035155003E-3</v>
      </c>
      <c r="AQ33" s="4">
        <f t="shared" si="0"/>
        <v>53</v>
      </c>
      <c r="AR33" s="210">
        <f t="shared" si="3"/>
        <v>54</v>
      </c>
    </row>
    <row r="34" spans="1:44" x14ac:dyDescent="0.25">
      <c r="A34" s="2" t="s">
        <v>30</v>
      </c>
      <c r="B34" s="2" t="s">
        <v>40</v>
      </c>
      <c r="C34" s="124">
        <f>'SLR Raw'!C36</f>
        <v>0</v>
      </c>
      <c r="D34" s="124">
        <f>'SLR Raw'!D36</f>
        <v>0</v>
      </c>
      <c r="E34" s="124">
        <f>'SLR Raw'!E36</f>
        <v>0</v>
      </c>
      <c r="F34" s="124">
        <f>'SLR Raw'!F36</f>
        <v>0</v>
      </c>
      <c r="G34" s="124">
        <f>'SLR Raw'!G36</f>
        <v>0</v>
      </c>
      <c r="H34" s="124">
        <f>'SLR Raw'!H36</f>
        <v>0</v>
      </c>
      <c r="I34" s="124">
        <f>'SLR Raw'!I36</f>
        <v>0</v>
      </c>
      <c r="J34" s="124">
        <f>'SLR Raw'!J36</f>
        <v>0</v>
      </c>
      <c r="K34" s="124">
        <f>'SLR Raw'!M36</f>
        <v>0</v>
      </c>
      <c r="L34" s="124">
        <f>'SLR Raw'!N36</f>
        <v>0</v>
      </c>
      <c r="M34" s="124">
        <f>'SLR Raw'!O36</f>
        <v>0</v>
      </c>
      <c r="N34" s="124">
        <f>'SLR Raw'!P36</f>
        <v>0</v>
      </c>
      <c r="O34" s="124">
        <f>'SLR Raw'!Q36</f>
        <v>0</v>
      </c>
      <c r="P34" s="124">
        <f>'SLR Raw'!R36</f>
        <v>0</v>
      </c>
      <c r="Q34" s="68">
        <f>'SLR Raw'!S36</f>
        <v>0</v>
      </c>
      <c r="R34" s="68">
        <f>'SLR Raw'!T36</f>
        <v>0</v>
      </c>
      <c r="S34" s="68">
        <f>'SLR Raw'!U36</f>
        <v>0</v>
      </c>
      <c r="T34" s="68">
        <f>'SLR Raw'!V36</f>
        <v>0</v>
      </c>
      <c r="U34" s="221">
        <f t="shared" si="1"/>
        <v>0</v>
      </c>
      <c r="V34" s="12">
        <v>4141</v>
      </c>
      <c r="W34" s="12">
        <v>1476</v>
      </c>
      <c r="X34" s="75">
        <f>C34/'FEMA Flood Zones'!$J32</f>
        <v>0</v>
      </c>
      <c r="Y34" s="74">
        <f>D34/'FEMA Flood Zones'!$K32</f>
        <v>0</v>
      </c>
      <c r="Z34" s="74">
        <f>E34/'FEMA Flood Zones'!$J32</f>
        <v>0</v>
      </c>
      <c r="AA34" s="74">
        <f>F34/'FEMA Flood Zones'!$K32</f>
        <v>0</v>
      </c>
      <c r="AB34" s="74">
        <f>G34/'FEMA Flood Zones'!$J32</f>
        <v>0</v>
      </c>
      <c r="AC34" s="74">
        <f>H34/'FEMA Flood Zones'!$K32</f>
        <v>0</v>
      </c>
      <c r="AD34" s="74">
        <f>I34/'FEMA Flood Zones'!$J32</f>
        <v>0</v>
      </c>
      <c r="AE34" s="74">
        <f>J34/'FEMA Flood Zones'!$K32</f>
        <v>0</v>
      </c>
      <c r="AF34" s="74">
        <f>K34/'FEMA Flood Zones'!$J32</f>
        <v>0</v>
      </c>
      <c r="AG34" s="74">
        <f>L34/'FEMA Flood Zones'!$K32</f>
        <v>0</v>
      </c>
      <c r="AH34" s="74">
        <f>M34/'FEMA Flood Zones'!$J32</f>
        <v>0</v>
      </c>
      <c r="AI34" s="74">
        <f>N34/'FEMA Flood Zones'!$K32</f>
        <v>0</v>
      </c>
      <c r="AJ34" s="74">
        <f>O34/'FEMA Flood Zones'!$J32</f>
        <v>0</v>
      </c>
      <c r="AK34" s="74">
        <f>P34/'FEMA Flood Zones'!$K32</f>
        <v>0</v>
      </c>
      <c r="AL34" s="74">
        <f>Q34/'FEMA Flood Zones'!$J32</f>
        <v>0</v>
      </c>
      <c r="AM34" s="74">
        <f>R34/'FEMA Flood Zones'!$K32</f>
        <v>0</v>
      </c>
      <c r="AN34" s="74">
        <f>S34/'FEMA Flood Zones'!$J32</f>
        <v>0</v>
      </c>
      <c r="AO34" s="74">
        <f>T34/'FEMA Flood Zones'!$K32</f>
        <v>0</v>
      </c>
      <c r="AP34" s="224">
        <f t="shared" si="2"/>
        <v>0</v>
      </c>
      <c r="AQ34" s="4">
        <f t="shared" si="0"/>
        <v>60</v>
      </c>
      <c r="AR34" s="210">
        <f t="shared" si="3"/>
        <v>60</v>
      </c>
    </row>
    <row r="35" spans="1:44" x14ac:dyDescent="0.25">
      <c r="A35" s="2" t="s">
        <v>30</v>
      </c>
      <c r="B35" s="123" t="s">
        <v>41</v>
      </c>
      <c r="C35" s="124">
        <f>'SLR Raw'!AQ37</f>
        <v>0</v>
      </c>
      <c r="D35" s="124">
        <f>'SLR Raw'!AR37</f>
        <v>0</v>
      </c>
      <c r="E35" s="124">
        <f>'SLR Raw'!AS37</f>
        <v>0</v>
      </c>
      <c r="F35" s="124">
        <f>'SLR Raw'!AT37</f>
        <v>0</v>
      </c>
      <c r="G35" s="124">
        <f>'SLR Raw'!AU37</f>
        <v>1</v>
      </c>
      <c r="H35" s="124">
        <f>'SLR Raw'!AV37</f>
        <v>0</v>
      </c>
      <c r="I35" s="124">
        <f>'SLR Raw'!I37</f>
        <v>0</v>
      </c>
      <c r="J35" s="124">
        <f>'SLR Raw'!J37</f>
        <v>0</v>
      </c>
      <c r="K35" s="124">
        <f>'SLR Raw'!M37</f>
        <v>0</v>
      </c>
      <c r="L35" s="124">
        <f>'SLR Raw'!N37</f>
        <v>0</v>
      </c>
      <c r="M35" s="124">
        <f>'SLR Raw'!O37</f>
        <v>0</v>
      </c>
      <c r="N35" s="124">
        <f>'SLR Raw'!P37</f>
        <v>0</v>
      </c>
      <c r="O35" s="124">
        <f>'SLR Raw'!Q37+'SLR Raw'!AW37</f>
        <v>1662</v>
      </c>
      <c r="P35" s="124">
        <f>'SLR Raw'!R37+'SLR Raw'!AX37</f>
        <v>2</v>
      </c>
      <c r="Q35" s="68">
        <f>'SLR Raw'!S37</f>
        <v>0</v>
      </c>
      <c r="R35" s="68">
        <f>'SLR Raw'!T37</f>
        <v>0</v>
      </c>
      <c r="S35" s="68">
        <f>'SLR Raw'!U37</f>
        <v>0</v>
      </c>
      <c r="T35" s="68">
        <f>'SLR Raw'!V37</f>
        <v>0</v>
      </c>
      <c r="U35" s="221">
        <f t="shared" si="1"/>
        <v>0</v>
      </c>
      <c r="V35" s="12">
        <v>12141</v>
      </c>
      <c r="W35" s="12">
        <v>52</v>
      </c>
      <c r="X35" s="75">
        <f>C35/'FEMA Flood Zones'!$J33</f>
        <v>0</v>
      </c>
      <c r="Y35" s="74">
        <f>D35/'FEMA Flood Zones'!$K33</f>
        <v>0</v>
      </c>
      <c r="Z35" s="74">
        <f>E35/'FEMA Flood Zones'!$J33</f>
        <v>0</v>
      </c>
      <c r="AA35" s="74">
        <f>F35/'FEMA Flood Zones'!$K33</f>
        <v>0</v>
      </c>
      <c r="AB35" s="74">
        <f>G35/'FEMA Flood Zones'!$J33</f>
        <v>8.236553825879252E-5</v>
      </c>
      <c r="AC35" s="74">
        <f>H35/'FEMA Flood Zones'!$K33</f>
        <v>0</v>
      </c>
      <c r="AD35" s="74">
        <f>I35/'FEMA Flood Zones'!$J33</f>
        <v>0</v>
      </c>
      <c r="AE35" s="74">
        <f>J35/'FEMA Flood Zones'!$K33</f>
        <v>0</v>
      </c>
      <c r="AF35" s="74">
        <f>K35/'FEMA Flood Zones'!$J33</f>
        <v>0</v>
      </c>
      <c r="AG35" s="74">
        <f>L35/'FEMA Flood Zones'!$K33</f>
        <v>0</v>
      </c>
      <c r="AH35" s="74">
        <f>M35/'FEMA Flood Zones'!$J33</f>
        <v>0</v>
      </c>
      <c r="AI35" s="74">
        <f>N35/'FEMA Flood Zones'!$K33</f>
        <v>0</v>
      </c>
      <c r="AJ35" s="74">
        <f>O35/'FEMA Flood Zones'!$J33</f>
        <v>0.13689152458611317</v>
      </c>
      <c r="AK35" s="74">
        <f>P35/'FEMA Flood Zones'!$K33</f>
        <v>3.8461538461538464E-2</v>
      </c>
      <c r="AL35" s="74">
        <f>Q35/'FEMA Flood Zones'!$J33</f>
        <v>0</v>
      </c>
      <c r="AM35" s="74">
        <f>R35/'FEMA Flood Zones'!$K33</f>
        <v>0</v>
      </c>
      <c r="AN35" s="74">
        <f>S35/'FEMA Flood Zones'!$J33</f>
        <v>0</v>
      </c>
      <c r="AO35" s="74">
        <f>T35/'FEMA Flood Zones'!$K33</f>
        <v>0</v>
      </c>
      <c r="AP35" s="224">
        <f t="shared" si="2"/>
        <v>0</v>
      </c>
      <c r="AQ35" s="4">
        <f t="shared" si="0"/>
        <v>60</v>
      </c>
      <c r="AR35" s="210">
        <f t="shared" si="3"/>
        <v>60</v>
      </c>
    </row>
    <row r="36" spans="1:44" x14ac:dyDescent="0.25">
      <c r="A36" s="2" t="s">
        <v>30</v>
      </c>
      <c r="B36" s="2" t="s">
        <v>42</v>
      </c>
      <c r="C36" s="124">
        <f>'SLR Raw'!C38</f>
        <v>0</v>
      </c>
      <c r="D36" s="124">
        <f>'SLR Raw'!D38</f>
        <v>0</v>
      </c>
      <c r="E36" s="124">
        <f>'SLR Raw'!E38</f>
        <v>0</v>
      </c>
      <c r="F36" s="124">
        <f>'SLR Raw'!F38</f>
        <v>0</v>
      </c>
      <c r="G36" s="124">
        <f>'SLR Raw'!G38</f>
        <v>0</v>
      </c>
      <c r="H36" s="124">
        <f>'SLR Raw'!H38</f>
        <v>0</v>
      </c>
      <c r="I36" s="124">
        <f>'SLR Raw'!I38</f>
        <v>0</v>
      </c>
      <c r="J36" s="124">
        <f>'SLR Raw'!J38</f>
        <v>0</v>
      </c>
      <c r="K36" s="124">
        <f>'SLR Raw'!M38</f>
        <v>0</v>
      </c>
      <c r="L36" s="124">
        <f>'SLR Raw'!N38</f>
        <v>0</v>
      </c>
      <c r="M36" s="124">
        <f>'SLR Raw'!O38</f>
        <v>0</v>
      </c>
      <c r="N36" s="124">
        <f>'SLR Raw'!P38</f>
        <v>0</v>
      </c>
      <c r="O36" s="124">
        <f>'SLR Raw'!Q38</f>
        <v>0</v>
      </c>
      <c r="P36" s="124">
        <f>'SLR Raw'!R38</f>
        <v>0</v>
      </c>
      <c r="Q36" s="68">
        <f>'SLR Raw'!S38</f>
        <v>0</v>
      </c>
      <c r="R36" s="68">
        <f>'SLR Raw'!T38</f>
        <v>0</v>
      </c>
      <c r="S36" s="68">
        <f>'SLR Raw'!U38</f>
        <v>0</v>
      </c>
      <c r="T36" s="68">
        <f>'SLR Raw'!V38</f>
        <v>0</v>
      </c>
      <c r="U36" s="221">
        <f t="shared" si="1"/>
        <v>0</v>
      </c>
      <c r="V36" s="12">
        <v>6942</v>
      </c>
      <c r="W36" s="12">
        <v>269</v>
      </c>
      <c r="X36" s="75">
        <f>C36/'FEMA Flood Zones'!$J34</f>
        <v>0</v>
      </c>
      <c r="Y36" s="74">
        <f>D36/'FEMA Flood Zones'!$K34</f>
        <v>0</v>
      </c>
      <c r="Z36" s="74">
        <f>E36/'FEMA Flood Zones'!$J34</f>
        <v>0</v>
      </c>
      <c r="AA36" s="74">
        <f>F36/'FEMA Flood Zones'!$K34</f>
        <v>0</v>
      </c>
      <c r="AB36" s="74">
        <f>G36/'FEMA Flood Zones'!$J34</f>
        <v>0</v>
      </c>
      <c r="AC36" s="74">
        <f>H36/'FEMA Flood Zones'!$K34</f>
        <v>0</v>
      </c>
      <c r="AD36" s="74">
        <f>I36/'FEMA Flood Zones'!$J34</f>
        <v>0</v>
      </c>
      <c r="AE36" s="74">
        <f>J36/'FEMA Flood Zones'!$K34</f>
        <v>0</v>
      </c>
      <c r="AF36" s="74">
        <f>K36/'FEMA Flood Zones'!$J34</f>
        <v>0</v>
      </c>
      <c r="AG36" s="74">
        <f>L36/'FEMA Flood Zones'!$K34</f>
        <v>0</v>
      </c>
      <c r="AH36" s="74">
        <f>M36/'FEMA Flood Zones'!$J34</f>
        <v>0</v>
      </c>
      <c r="AI36" s="74">
        <f>N36/'FEMA Flood Zones'!$K34</f>
        <v>0</v>
      </c>
      <c r="AJ36" s="74">
        <f>O36/'FEMA Flood Zones'!$J34</f>
        <v>0</v>
      </c>
      <c r="AK36" s="74">
        <f>P36/'FEMA Flood Zones'!$K34</f>
        <v>0</v>
      </c>
      <c r="AL36" s="74">
        <f>Q36/'FEMA Flood Zones'!$J34</f>
        <v>0</v>
      </c>
      <c r="AM36" s="74">
        <f>R36/'FEMA Flood Zones'!$K34</f>
        <v>0</v>
      </c>
      <c r="AN36" s="74">
        <f>S36/'FEMA Flood Zones'!$J34</f>
        <v>0</v>
      </c>
      <c r="AO36" s="74">
        <f>T36/'FEMA Flood Zones'!$K34</f>
        <v>0</v>
      </c>
      <c r="AP36" s="224">
        <f t="shared" si="2"/>
        <v>0</v>
      </c>
      <c r="AQ36" s="4">
        <f t="shared" si="0"/>
        <v>60</v>
      </c>
      <c r="AR36" s="210">
        <f t="shared" si="3"/>
        <v>60</v>
      </c>
    </row>
    <row r="37" spans="1:44" x14ac:dyDescent="0.25">
      <c r="A37" s="2" t="s">
        <v>30</v>
      </c>
      <c r="B37" s="2" t="s">
        <v>43</v>
      </c>
      <c r="C37" s="124">
        <f>'SLR Raw'!C39</f>
        <v>0</v>
      </c>
      <c r="D37" s="124">
        <f>'SLR Raw'!D39</f>
        <v>0</v>
      </c>
      <c r="E37" s="124">
        <f>'SLR Raw'!E39</f>
        <v>0</v>
      </c>
      <c r="F37" s="124">
        <f>'SLR Raw'!F39</f>
        <v>0</v>
      </c>
      <c r="G37" s="124">
        <f>'SLR Raw'!G39</f>
        <v>0</v>
      </c>
      <c r="H37" s="124">
        <f>'SLR Raw'!H39</f>
        <v>0</v>
      </c>
      <c r="I37" s="124">
        <f>'SLR Raw'!I39</f>
        <v>0</v>
      </c>
      <c r="J37" s="124">
        <f>'SLR Raw'!J39</f>
        <v>0</v>
      </c>
      <c r="K37" s="124">
        <f>'SLR Raw'!M39</f>
        <v>6</v>
      </c>
      <c r="L37" s="124">
        <f>'SLR Raw'!N39</f>
        <v>0</v>
      </c>
      <c r="M37" s="124">
        <f>'SLR Raw'!O39</f>
        <v>24</v>
      </c>
      <c r="N37" s="124">
        <f>'SLR Raw'!P39</f>
        <v>0</v>
      </c>
      <c r="O37" s="124">
        <f>'SLR Raw'!Q39</f>
        <v>33</v>
      </c>
      <c r="P37" s="124">
        <f>'SLR Raw'!R39</f>
        <v>0</v>
      </c>
      <c r="Q37" s="68">
        <f>'SLR Raw'!S39</f>
        <v>45</v>
      </c>
      <c r="R37" s="68">
        <f>'SLR Raw'!T39</f>
        <v>0</v>
      </c>
      <c r="S37" s="68">
        <f>'SLR Raw'!U39</f>
        <v>62</v>
      </c>
      <c r="T37" s="68">
        <f>'SLR Raw'!V39</f>
        <v>0</v>
      </c>
      <c r="U37" s="221">
        <f t="shared" si="1"/>
        <v>62</v>
      </c>
      <c r="V37" s="12">
        <v>5296</v>
      </c>
      <c r="W37" s="12">
        <v>844</v>
      </c>
      <c r="X37" s="75">
        <f>C37/'FEMA Flood Zones'!$J35</f>
        <v>0</v>
      </c>
      <c r="Y37" s="74">
        <f>D37/'FEMA Flood Zones'!$K35</f>
        <v>0</v>
      </c>
      <c r="Z37" s="74">
        <f>E37/'FEMA Flood Zones'!$J35</f>
        <v>0</v>
      </c>
      <c r="AA37" s="74">
        <f>F37/'FEMA Flood Zones'!$K35</f>
        <v>0</v>
      </c>
      <c r="AB37" s="74">
        <f>G37/'FEMA Flood Zones'!$J35</f>
        <v>0</v>
      </c>
      <c r="AC37" s="74">
        <f>H37/'FEMA Flood Zones'!$K35</f>
        <v>0</v>
      </c>
      <c r="AD37" s="74">
        <f>I37/'FEMA Flood Zones'!$J35</f>
        <v>0</v>
      </c>
      <c r="AE37" s="74">
        <f>J37/'FEMA Flood Zones'!$K35</f>
        <v>0</v>
      </c>
      <c r="AF37" s="74">
        <f>K37/'FEMA Flood Zones'!$J35</f>
        <v>1.1329305135951663E-3</v>
      </c>
      <c r="AG37" s="74">
        <f>L37/'FEMA Flood Zones'!$K35</f>
        <v>0</v>
      </c>
      <c r="AH37" s="74">
        <f>M37/'FEMA Flood Zones'!$J35</f>
        <v>4.5317220543806651E-3</v>
      </c>
      <c r="AI37" s="74">
        <f>N37/'FEMA Flood Zones'!$K35</f>
        <v>0</v>
      </c>
      <c r="AJ37" s="74">
        <f>O37/'FEMA Flood Zones'!$J35</f>
        <v>6.2311178247734141E-3</v>
      </c>
      <c r="AK37" s="74">
        <f>P37/'FEMA Flood Zones'!$K35</f>
        <v>0</v>
      </c>
      <c r="AL37" s="74">
        <f>Q37/'FEMA Flood Zones'!$J35</f>
        <v>8.4969788519637466E-3</v>
      </c>
      <c r="AM37" s="74">
        <f>R37/'FEMA Flood Zones'!$K35</f>
        <v>0</v>
      </c>
      <c r="AN37" s="74">
        <f>S37/'FEMA Flood Zones'!$J35</f>
        <v>1.1706948640483383E-2</v>
      </c>
      <c r="AO37" s="74">
        <f>T37/'FEMA Flood Zones'!$K35</f>
        <v>0</v>
      </c>
      <c r="AP37" s="224">
        <f t="shared" si="2"/>
        <v>1.0097719869706841E-2</v>
      </c>
      <c r="AQ37" s="4">
        <f t="shared" si="0"/>
        <v>48</v>
      </c>
      <c r="AR37" s="210">
        <f t="shared" si="3"/>
        <v>43</v>
      </c>
    </row>
    <row r="38" spans="1:44" x14ac:dyDescent="0.25">
      <c r="A38" s="2" t="s">
        <v>30</v>
      </c>
      <c r="B38" s="123" t="s">
        <v>44</v>
      </c>
      <c r="C38" s="124">
        <f>'SLR Raw'!C40+'SLR Raw'!AQ40</f>
        <v>0</v>
      </c>
      <c r="D38" s="124">
        <f>'SLR Raw'!D40+'SLR Raw'!AR40</f>
        <v>0</v>
      </c>
      <c r="E38" s="124">
        <f>'SLR Raw'!E40+'SLR Raw'!AS40</f>
        <v>55</v>
      </c>
      <c r="F38" s="124">
        <f>'SLR Raw'!F40+'SLR Raw'!AT40</f>
        <v>15</v>
      </c>
      <c r="G38" s="124">
        <f>'SLR Raw'!G40+'SLR Raw'!AU40</f>
        <v>77</v>
      </c>
      <c r="H38" s="124">
        <f>'SLR Raw'!H40+'SLR Raw'!AV40</f>
        <v>26</v>
      </c>
      <c r="I38" s="124">
        <f>'SLR Raw'!I40</f>
        <v>96</v>
      </c>
      <c r="J38" s="124">
        <f>'SLR Raw'!J40</f>
        <v>31</v>
      </c>
      <c r="K38" s="124">
        <f>'SLR Raw'!M40</f>
        <v>145</v>
      </c>
      <c r="L38" s="124">
        <f>'SLR Raw'!N40</f>
        <v>59</v>
      </c>
      <c r="M38" s="124">
        <f>'SLR Raw'!O40</f>
        <v>189</v>
      </c>
      <c r="N38" s="124">
        <f>'SLR Raw'!P40</f>
        <v>90</v>
      </c>
      <c r="O38" s="124">
        <f>'SLR Raw'!Q40+'SLR Raw'!AW40</f>
        <v>217</v>
      </c>
      <c r="P38" s="124">
        <f>'SLR Raw'!R40+'SLR Raw'!AX40</f>
        <v>147</v>
      </c>
      <c r="Q38" s="68">
        <f>'SLR Raw'!S40</f>
        <v>281</v>
      </c>
      <c r="R38" s="68">
        <f>'SLR Raw'!T40</f>
        <v>184</v>
      </c>
      <c r="S38" s="68">
        <f>'SLR Raw'!U40</f>
        <v>486</v>
      </c>
      <c r="T38" s="68">
        <f>'SLR Raw'!V40</f>
        <v>319</v>
      </c>
      <c r="U38" s="221">
        <f t="shared" si="1"/>
        <v>805</v>
      </c>
      <c r="V38" s="12">
        <v>16444</v>
      </c>
      <c r="W38" s="12">
        <v>1659</v>
      </c>
      <c r="X38" s="75">
        <f>C38/'FEMA Flood Zones'!$J36</f>
        <v>0</v>
      </c>
      <c r="Y38" s="74">
        <f>D38/'FEMA Flood Zones'!$K36</f>
        <v>0</v>
      </c>
      <c r="Z38" s="74">
        <f>E38/'FEMA Flood Zones'!$J36</f>
        <v>3.3446849914862565E-3</v>
      </c>
      <c r="AA38" s="74">
        <f>F38/'FEMA Flood Zones'!$K36</f>
        <v>9.0415913200723331E-3</v>
      </c>
      <c r="AB38" s="74">
        <f>G38/'FEMA Flood Zones'!$J36</f>
        <v>4.6825589880807586E-3</v>
      </c>
      <c r="AC38" s="74">
        <f>H38/'FEMA Flood Zones'!$K36</f>
        <v>1.567209162145871E-2</v>
      </c>
      <c r="AD38" s="74">
        <f>I38/'FEMA Flood Zones'!$J36</f>
        <v>5.8379956215032841E-3</v>
      </c>
      <c r="AE38" s="74">
        <f>J38/'FEMA Flood Zones'!$K36</f>
        <v>1.8685955394816153E-2</v>
      </c>
      <c r="AF38" s="74">
        <f>K38/'FEMA Flood Zones'!$J36</f>
        <v>8.8178058866455848E-3</v>
      </c>
      <c r="AG38" s="74">
        <f>L38/'FEMA Flood Zones'!$K36</f>
        <v>3.5563592525617839E-2</v>
      </c>
      <c r="AH38" s="74">
        <f>M38/'FEMA Flood Zones'!$J36</f>
        <v>1.1493553879834591E-2</v>
      </c>
      <c r="AI38" s="74">
        <f>N38/'FEMA Flood Zones'!$K36</f>
        <v>5.4249547920433995E-2</v>
      </c>
      <c r="AJ38" s="74">
        <f>O38/'FEMA Flood Zones'!$J36</f>
        <v>1.3196302602773049E-2</v>
      </c>
      <c r="AK38" s="74">
        <f>P38/'FEMA Flood Zones'!$K36</f>
        <v>8.8607594936708861E-2</v>
      </c>
      <c r="AL38" s="74">
        <f>Q38/'FEMA Flood Zones'!$J36</f>
        <v>1.7088299683775236E-2</v>
      </c>
      <c r="AM38" s="74">
        <f>R38/'FEMA Flood Zones'!$K36</f>
        <v>0.11091018685955395</v>
      </c>
      <c r="AN38" s="74">
        <f>S38/'FEMA Flood Zones'!$J36</f>
        <v>2.9554852833860376E-2</v>
      </c>
      <c r="AO38" s="74">
        <f>T38/'FEMA Flood Zones'!$K36</f>
        <v>0.19228450874020495</v>
      </c>
      <c r="AP38" s="224">
        <f t="shared" si="2"/>
        <v>4.4467767773297244E-2</v>
      </c>
      <c r="AQ38" s="4">
        <f t="shared" si="0"/>
        <v>31</v>
      </c>
      <c r="AR38" s="210">
        <f t="shared" si="3"/>
        <v>30</v>
      </c>
    </row>
    <row r="39" spans="1:44" x14ac:dyDescent="0.25">
      <c r="A39" s="2" t="s">
        <v>30</v>
      </c>
      <c r="B39" s="2" t="s">
        <v>45</v>
      </c>
      <c r="C39" s="124">
        <f>'SLR Raw'!C41</f>
        <v>0</v>
      </c>
      <c r="D39" s="124">
        <f>'SLR Raw'!D41</f>
        <v>0</v>
      </c>
      <c r="E39" s="124">
        <f>'SLR Raw'!E41</f>
        <v>0</v>
      </c>
      <c r="F39" s="124">
        <f>'SLR Raw'!F41</f>
        <v>0</v>
      </c>
      <c r="G39" s="124">
        <f>'SLR Raw'!G41</f>
        <v>0</v>
      </c>
      <c r="H39" s="124">
        <f>'SLR Raw'!H41</f>
        <v>0</v>
      </c>
      <c r="I39" s="124">
        <f>'SLR Raw'!I41</f>
        <v>0</v>
      </c>
      <c r="J39" s="124">
        <f>'SLR Raw'!J41</f>
        <v>0</v>
      </c>
      <c r="K39" s="124">
        <f>'SLR Raw'!M41</f>
        <v>0</v>
      </c>
      <c r="L39" s="124">
        <f>'SLR Raw'!N41</f>
        <v>0</v>
      </c>
      <c r="M39" s="124">
        <f>'SLR Raw'!O41</f>
        <v>0</v>
      </c>
      <c r="N39" s="124">
        <f>'SLR Raw'!P41</f>
        <v>0</v>
      </c>
      <c r="O39" s="124">
        <f>'SLR Raw'!Q41</f>
        <v>0</v>
      </c>
      <c r="P39" s="124">
        <f>'SLR Raw'!R41</f>
        <v>0</v>
      </c>
      <c r="Q39" s="68">
        <f>'SLR Raw'!S41</f>
        <v>0</v>
      </c>
      <c r="R39" s="68">
        <f>'SLR Raw'!T41</f>
        <v>0</v>
      </c>
      <c r="S39" s="68">
        <f>'SLR Raw'!U41</f>
        <v>0</v>
      </c>
      <c r="T39" s="68">
        <f>'SLR Raw'!V41</f>
        <v>0</v>
      </c>
      <c r="U39" s="221">
        <f t="shared" si="1"/>
        <v>0</v>
      </c>
      <c r="V39" s="12">
        <v>8530</v>
      </c>
      <c r="W39" s="12">
        <v>2434</v>
      </c>
      <c r="X39" s="75">
        <f>C39/'FEMA Flood Zones'!$J37</f>
        <v>0</v>
      </c>
      <c r="Y39" s="74">
        <f>D39/'FEMA Flood Zones'!$K37</f>
        <v>0</v>
      </c>
      <c r="Z39" s="74">
        <f>E39/'FEMA Flood Zones'!$J37</f>
        <v>0</v>
      </c>
      <c r="AA39" s="74">
        <f>F39/'FEMA Flood Zones'!$K37</f>
        <v>0</v>
      </c>
      <c r="AB39" s="74">
        <f>G39/'FEMA Flood Zones'!$J37</f>
        <v>0</v>
      </c>
      <c r="AC39" s="74">
        <f>H39/'FEMA Flood Zones'!$K37</f>
        <v>0</v>
      </c>
      <c r="AD39" s="74">
        <f>I39/'FEMA Flood Zones'!$J37</f>
        <v>0</v>
      </c>
      <c r="AE39" s="74">
        <f>J39/'FEMA Flood Zones'!$K37</f>
        <v>0</v>
      </c>
      <c r="AF39" s="74">
        <f>K39/'FEMA Flood Zones'!$J37</f>
        <v>0</v>
      </c>
      <c r="AG39" s="74">
        <f>L39/'FEMA Flood Zones'!$K37</f>
        <v>0</v>
      </c>
      <c r="AH39" s="74">
        <f>M39/'FEMA Flood Zones'!$J37</f>
        <v>0</v>
      </c>
      <c r="AI39" s="74">
        <f>N39/'FEMA Flood Zones'!$K37</f>
        <v>0</v>
      </c>
      <c r="AJ39" s="74">
        <f>O39/'FEMA Flood Zones'!$J37</f>
        <v>0</v>
      </c>
      <c r="AK39" s="74">
        <f>P39/'FEMA Flood Zones'!$K37</f>
        <v>0</v>
      </c>
      <c r="AL39" s="74">
        <f>Q39/'FEMA Flood Zones'!$J37</f>
        <v>0</v>
      </c>
      <c r="AM39" s="74">
        <f>R39/'FEMA Flood Zones'!$K37</f>
        <v>0</v>
      </c>
      <c r="AN39" s="74">
        <f>S39/'FEMA Flood Zones'!$J37</f>
        <v>0</v>
      </c>
      <c r="AO39" s="74">
        <f>T39/'FEMA Flood Zones'!$K37</f>
        <v>0</v>
      </c>
      <c r="AP39" s="224">
        <f t="shared" si="2"/>
        <v>0</v>
      </c>
      <c r="AQ39" s="4">
        <f t="shared" si="0"/>
        <v>60</v>
      </c>
      <c r="AR39" s="210">
        <f t="shared" si="3"/>
        <v>60</v>
      </c>
    </row>
    <row r="40" spans="1:44" x14ac:dyDescent="0.25">
      <c r="A40" s="2" t="s">
        <v>30</v>
      </c>
      <c r="B40" s="2" t="s">
        <v>46</v>
      </c>
      <c r="C40" s="124">
        <f>'SLR Raw'!C42</f>
        <v>90</v>
      </c>
      <c r="D40" s="124">
        <f>'SLR Raw'!D42</f>
        <v>9</v>
      </c>
      <c r="E40" s="124">
        <f>'SLR Raw'!E42</f>
        <v>91</v>
      </c>
      <c r="F40" s="124">
        <f>'SLR Raw'!F42</f>
        <v>9</v>
      </c>
      <c r="G40" s="124">
        <f>'SLR Raw'!G42</f>
        <v>91</v>
      </c>
      <c r="H40" s="124">
        <f>'SLR Raw'!H42</f>
        <v>14</v>
      </c>
      <c r="I40" s="124">
        <f>'SLR Raw'!I42</f>
        <v>132</v>
      </c>
      <c r="J40" s="124">
        <f>'SLR Raw'!J42</f>
        <v>31</v>
      </c>
      <c r="K40" s="124">
        <f>'SLR Raw'!M42</f>
        <v>200</v>
      </c>
      <c r="L40" s="124">
        <f>'SLR Raw'!N42</f>
        <v>40</v>
      </c>
      <c r="M40" s="124">
        <f>'SLR Raw'!O42</f>
        <v>294</v>
      </c>
      <c r="N40" s="124">
        <f>'SLR Raw'!P42</f>
        <v>73</v>
      </c>
      <c r="O40" s="124">
        <f>'SLR Raw'!Q42</f>
        <v>376</v>
      </c>
      <c r="P40" s="124">
        <f>'SLR Raw'!R42</f>
        <v>185</v>
      </c>
      <c r="Q40" s="68">
        <f>'SLR Raw'!S42</f>
        <v>527</v>
      </c>
      <c r="R40" s="68">
        <f>'SLR Raw'!T42</f>
        <v>928</v>
      </c>
      <c r="S40" s="68">
        <f>'SLR Raw'!U42</f>
        <v>730</v>
      </c>
      <c r="T40" s="68">
        <f>'SLR Raw'!V42</f>
        <v>1430</v>
      </c>
      <c r="U40" s="221">
        <f t="shared" si="1"/>
        <v>2160</v>
      </c>
      <c r="V40" s="12">
        <v>22604</v>
      </c>
      <c r="W40" s="12">
        <v>6307</v>
      </c>
      <c r="X40" s="75">
        <f>C40/'FEMA Flood Zones'!$J38</f>
        <v>3.9815961776676692E-3</v>
      </c>
      <c r="Y40" s="74">
        <f>D40/'FEMA Flood Zones'!$K38</f>
        <v>1.4269858886951008E-3</v>
      </c>
      <c r="Z40" s="74">
        <f>E40/'FEMA Flood Zones'!$J38</f>
        <v>4.0258361351973105E-3</v>
      </c>
      <c r="AA40" s="74">
        <f>F40/'FEMA Flood Zones'!$K38</f>
        <v>1.4269858886951008E-3</v>
      </c>
      <c r="AB40" s="74">
        <f>G40/'FEMA Flood Zones'!$J38</f>
        <v>4.0258361351973105E-3</v>
      </c>
      <c r="AC40" s="74">
        <f>H40/'FEMA Flood Zones'!$K38</f>
        <v>2.2197558268590455E-3</v>
      </c>
      <c r="AD40" s="74">
        <f>I40/'FEMA Flood Zones'!$J38</f>
        <v>5.8396743939125818E-3</v>
      </c>
      <c r="AE40" s="74">
        <f>J40/'FEMA Flood Zones'!$K38</f>
        <v>4.9151736166164577E-3</v>
      </c>
      <c r="AF40" s="74">
        <f>K40/'FEMA Flood Zones'!$J38</f>
        <v>8.8479915059281548E-3</v>
      </c>
      <c r="AG40" s="74">
        <f>L40/'FEMA Flood Zones'!$K38</f>
        <v>6.3421595053115582E-3</v>
      </c>
      <c r="AH40" s="74">
        <f>M40/'FEMA Flood Zones'!$J38</f>
        <v>1.3006547513714387E-2</v>
      </c>
      <c r="AI40" s="74">
        <f>N40/'FEMA Flood Zones'!$K38</f>
        <v>1.1574441097193595E-2</v>
      </c>
      <c r="AJ40" s="74">
        <f>O40/'FEMA Flood Zones'!$J38</f>
        <v>1.663422403114493E-2</v>
      </c>
      <c r="AK40" s="74">
        <f>P40/'FEMA Flood Zones'!$K38</f>
        <v>2.9332487712065959E-2</v>
      </c>
      <c r="AL40" s="74">
        <f>Q40/'FEMA Flood Zones'!$J38</f>
        <v>2.3314457618120687E-2</v>
      </c>
      <c r="AM40" s="74">
        <f>R40/'FEMA Flood Zones'!$K38</f>
        <v>0.14713810052322815</v>
      </c>
      <c r="AN40" s="74">
        <f>S40/'FEMA Flood Zones'!$J38</f>
        <v>3.2295168996637764E-2</v>
      </c>
      <c r="AO40" s="74">
        <f>T40/'FEMA Flood Zones'!$K38</f>
        <v>0.22673220231488822</v>
      </c>
      <c r="AP40" s="224">
        <f t="shared" si="2"/>
        <v>7.4712047317629968E-2</v>
      </c>
      <c r="AQ40" s="4">
        <f t="shared" si="0"/>
        <v>22</v>
      </c>
      <c r="AR40" s="210">
        <f t="shared" si="3"/>
        <v>29</v>
      </c>
    </row>
    <row r="41" spans="1:44" x14ac:dyDescent="0.25">
      <c r="A41" s="2" t="s">
        <v>30</v>
      </c>
      <c r="B41" s="2" t="s">
        <v>47</v>
      </c>
      <c r="C41" s="124">
        <f>'SLR Raw'!C43</f>
        <v>0</v>
      </c>
      <c r="D41" s="124">
        <f>'SLR Raw'!D43</f>
        <v>0</v>
      </c>
      <c r="E41" s="124">
        <f>'SLR Raw'!E43</f>
        <v>0</v>
      </c>
      <c r="F41" s="124">
        <f>'SLR Raw'!F43</f>
        <v>0</v>
      </c>
      <c r="G41" s="124">
        <f>'SLR Raw'!G43</f>
        <v>0</v>
      </c>
      <c r="H41" s="124">
        <f>'SLR Raw'!H43</f>
        <v>0</v>
      </c>
      <c r="I41" s="124">
        <f>'SLR Raw'!I43</f>
        <v>0</v>
      </c>
      <c r="J41" s="124">
        <f>'SLR Raw'!J43</f>
        <v>0</v>
      </c>
      <c r="K41" s="124">
        <f>'SLR Raw'!M43</f>
        <v>0</v>
      </c>
      <c r="L41" s="124">
        <f>'SLR Raw'!N43</f>
        <v>0</v>
      </c>
      <c r="M41" s="124">
        <f>'SLR Raw'!O43</f>
        <v>0</v>
      </c>
      <c r="N41" s="124">
        <f>'SLR Raw'!P43</f>
        <v>0</v>
      </c>
      <c r="O41" s="124">
        <f>'SLR Raw'!Q43</f>
        <v>0</v>
      </c>
      <c r="P41" s="124">
        <f>'SLR Raw'!R43</f>
        <v>0</v>
      </c>
      <c r="Q41" s="68">
        <f>'SLR Raw'!S43</f>
        <v>0</v>
      </c>
      <c r="R41" s="68">
        <f>'SLR Raw'!T43</f>
        <v>0</v>
      </c>
      <c r="S41" s="68">
        <f>'SLR Raw'!U43</f>
        <v>0</v>
      </c>
      <c r="T41" s="68">
        <f>'SLR Raw'!V43</f>
        <v>0</v>
      </c>
      <c r="U41" s="221">
        <f t="shared" si="1"/>
        <v>0</v>
      </c>
      <c r="V41" s="12">
        <v>4370</v>
      </c>
      <c r="W41" s="12">
        <v>1962</v>
      </c>
      <c r="X41" s="75">
        <f>C41/'FEMA Flood Zones'!$J39</f>
        <v>0</v>
      </c>
      <c r="Y41" s="74">
        <f>D41/'FEMA Flood Zones'!$K39</f>
        <v>0</v>
      </c>
      <c r="Z41" s="74">
        <f>E41/'FEMA Flood Zones'!$J39</f>
        <v>0</v>
      </c>
      <c r="AA41" s="74">
        <f>F41/'FEMA Flood Zones'!$K39</f>
        <v>0</v>
      </c>
      <c r="AB41" s="74">
        <f>G41/'FEMA Flood Zones'!$J39</f>
        <v>0</v>
      </c>
      <c r="AC41" s="74">
        <f>H41/'FEMA Flood Zones'!$K39</f>
        <v>0</v>
      </c>
      <c r="AD41" s="74">
        <f>I41/'FEMA Flood Zones'!$J39</f>
        <v>0</v>
      </c>
      <c r="AE41" s="74">
        <f>J41/'FEMA Flood Zones'!$K39</f>
        <v>0</v>
      </c>
      <c r="AF41" s="74">
        <f>K41/'FEMA Flood Zones'!$J39</f>
        <v>0</v>
      </c>
      <c r="AG41" s="74">
        <f>L41/'FEMA Flood Zones'!$K39</f>
        <v>0</v>
      </c>
      <c r="AH41" s="74">
        <f>M41/'FEMA Flood Zones'!$J39</f>
        <v>0</v>
      </c>
      <c r="AI41" s="74">
        <f>N41/'FEMA Flood Zones'!$K39</f>
        <v>0</v>
      </c>
      <c r="AJ41" s="74">
        <f>O41/'FEMA Flood Zones'!$J39</f>
        <v>0</v>
      </c>
      <c r="AK41" s="74">
        <f>P41/'FEMA Flood Zones'!$K39</f>
        <v>0</v>
      </c>
      <c r="AL41" s="74">
        <f>Q41/'FEMA Flood Zones'!$J39</f>
        <v>0</v>
      </c>
      <c r="AM41" s="74">
        <f>R41/'FEMA Flood Zones'!$K39</f>
        <v>0</v>
      </c>
      <c r="AN41" s="74">
        <f>S41/'FEMA Flood Zones'!$J39</f>
        <v>0</v>
      </c>
      <c r="AO41" s="74">
        <f>T41/'FEMA Flood Zones'!$K39</f>
        <v>0</v>
      </c>
      <c r="AP41" s="224">
        <f t="shared" si="2"/>
        <v>0</v>
      </c>
      <c r="AQ41" s="4">
        <f t="shared" si="0"/>
        <v>60</v>
      </c>
      <c r="AR41" s="210">
        <f t="shared" si="3"/>
        <v>60</v>
      </c>
    </row>
    <row r="42" spans="1:44" x14ac:dyDescent="0.25">
      <c r="A42" s="2" t="s">
        <v>30</v>
      </c>
      <c r="B42" s="2" t="s">
        <v>48</v>
      </c>
      <c r="C42" s="124">
        <f>'SLR Raw'!C44</f>
        <v>0</v>
      </c>
      <c r="D42" s="124">
        <f>'SLR Raw'!D44</f>
        <v>0</v>
      </c>
      <c r="E42" s="124">
        <f>'SLR Raw'!E44</f>
        <v>0</v>
      </c>
      <c r="F42" s="124">
        <f>'SLR Raw'!F44</f>
        <v>0</v>
      </c>
      <c r="G42" s="124">
        <f>'SLR Raw'!G44</f>
        <v>0</v>
      </c>
      <c r="H42" s="124">
        <f>'SLR Raw'!H44</f>
        <v>0</v>
      </c>
      <c r="I42" s="124">
        <f>'SLR Raw'!I44</f>
        <v>0</v>
      </c>
      <c r="J42" s="124">
        <f>'SLR Raw'!J44</f>
        <v>0</v>
      </c>
      <c r="K42" s="124">
        <f>'SLR Raw'!M44</f>
        <v>0</v>
      </c>
      <c r="L42" s="124">
        <f>'SLR Raw'!N44</f>
        <v>0</v>
      </c>
      <c r="M42" s="124">
        <f>'SLR Raw'!O44</f>
        <v>0</v>
      </c>
      <c r="N42" s="124">
        <f>'SLR Raw'!P44</f>
        <v>0</v>
      </c>
      <c r="O42" s="124">
        <f>'SLR Raw'!Q44</f>
        <v>0</v>
      </c>
      <c r="P42" s="124">
        <f>'SLR Raw'!R44</f>
        <v>0</v>
      </c>
      <c r="Q42" s="68">
        <f>'SLR Raw'!S44</f>
        <v>0</v>
      </c>
      <c r="R42" s="68">
        <f>'SLR Raw'!T44</f>
        <v>0</v>
      </c>
      <c r="S42" s="68">
        <f>'SLR Raw'!U44</f>
        <v>0</v>
      </c>
      <c r="T42" s="68">
        <f>'SLR Raw'!V44</f>
        <v>0</v>
      </c>
      <c r="U42" s="221">
        <f t="shared" si="1"/>
        <v>0</v>
      </c>
      <c r="V42" s="12">
        <v>18045</v>
      </c>
      <c r="W42" s="12">
        <v>5643</v>
      </c>
      <c r="X42" s="75">
        <f>C42/'FEMA Flood Zones'!$J40</f>
        <v>0</v>
      </c>
      <c r="Y42" s="74">
        <f>D42/'FEMA Flood Zones'!$K40</f>
        <v>0</v>
      </c>
      <c r="Z42" s="74">
        <f>E42/'FEMA Flood Zones'!$J40</f>
        <v>0</v>
      </c>
      <c r="AA42" s="74">
        <f>F42/'FEMA Flood Zones'!$K40</f>
        <v>0</v>
      </c>
      <c r="AB42" s="74">
        <f>G42/'FEMA Flood Zones'!$J40</f>
        <v>0</v>
      </c>
      <c r="AC42" s="74">
        <f>H42/'FEMA Flood Zones'!$K40</f>
        <v>0</v>
      </c>
      <c r="AD42" s="74">
        <f>I42/'FEMA Flood Zones'!$J40</f>
        <v>0</v>
      </c>
      <c r="AE42" s="74">
        <f>J42/'FEMA Flood Zones'!$K40</f>
        <v>0</v>
      </c>
      <c r="AF42" s="74">
        <f>K42/'FEMA Flood Zones'!$J40</f>
        <v>0</v>
      </c>
      <c r="AG42" s="74">
        <f>L42/'FEMA Flood Zones'!$K40</f>
        <v>0</v>
      </c>
      <c r="AH42" s="74">
        <f>M42/'FEMA Flood Zones'!$J40</f>
        <v>0</v>
      </c>
      <c r="AI42" s="74">
        <f>N42/'FEMA Flood Zones'!$K40</f>
        <v>0</v>
      </c>
      <c r="AJ42" s="74">
        <f>O42/'FEMA Flood Zones'!$J40</f>
        <v>0</v>
      </c>
      <c r="AK42" s="74">
        <f>P42/'FEMA Flood Zones'!$K40</f>
        <v>0</v>
      </c>
      <c r="AL42" s="74">
        <f>Q42/'FEMA Flood Zones'!$J40</f>
        <v>0</v>
      </c>
      <c r="AM42" s="74">
        <f>R42/'FEMA Flood Zones'!$K40</f>
        <v>0</v>
      </c>
      <c r="AN42" s="74">
        <f>S42/'FEMA Flood Zones'!$J40</f>
        <v>0</v>
      </c>
      <c r="AO42" s="74">
        <f>T42/'FEMA Flood Zones'!$K40</f>
        <v>0</v>
      </c>
      <c r="AP42" s="224">
        <f t="shared" si="2"/>
        <v>0</v>
      </c>
      <c r="AQ42" s="4">
        <f t="shared" ref="AQ42:AQ73" si="4">RANK(S42,$S$10:$S$118,0)</f>
        <v>60</v>
      </c>
      <c r="AR42" s="210">
        <f t="shared" si="3"/>
        <v>60</v>
      </c>
    </row>
    <row r="43" spans="1:44" x14ac:dyDescent="0.25">
      <c r="A43" s="2" t="s">
        <v>30</v>
      </c>
      <c r="B43" s="123" t="s">
        <v>49</v>
      </c>
      <c r="C43" s="124">
        <f>'SLR Raw'!C45+'SLR Raw'!AQ45</f>
        <v>0</v>
      </c>
      <c r="D43" s="124">
        <f>'SLR Raw'!D45+'SLR Raw'!AR45</f>
        <v>0</v>
      </c>
      <c r="E43" s="124">
        <f>'SLR Raw'!E45+'SLR Raw'!AS45</f>
        <v>6</v>
      </c>
      <c r="F43" s="124">
        <f>'SLR Raw'!F45+'SLR Raw'!AT45</f>
        <v>0</v>
      </c>
      <c r="G43" s="124">
        <f>'SLR Raw'!G45+'SLR Raw'!AU45</f>
        <v>8</v>
      </c>
      <c r="H43" s="124">
        <f>'SLR Raw'!H45+'SLR Raw'!AV45</f>
        <v>0</v>
      </c>
      <c r="I43" s="124">
        <f>'SLR Raw'!I45</f>
        <v>5</v>
      </c>
      <c r="J43" s="124">
        <f>'SLR Raw'!J45</f>
        <v>0</v>
      </c>
      <c r="K43" s="124">
        <f>'SLR Raw'!M45</f>
        <v>78</v>
      </c>
      <c r="L43" s="124">
        <f>'SLR Raw'!N45</f>
        <v>18</v>
      </c>
      <c r="M43" s="124">
        <f>'SLR Raw'!O45</f>
        <v>93</v>
      </c>
      <c r="N43" s="124">
        <f>'SLR Raw'!P45</f>
        <v>23</v>
      </c>
      <c r="O43" s="226">
        <f>'SLR Raw'!Q45+'SLR Raw'!AW45</f>
        <v>4000</v>
      </c>
      <c r="P43" s="226">
        <f>'SLR Raw'!R45+'SLR Raw'!AX45</f>
        <v>417</v>
      </c>
      <c r="Q43" s="70">
        <f>'SLR Raw'!S45</f>
        <v>440</v>
      </c>
      <c r="R43" s="70">
        <f>'SLR Raw'!T45</f>
        <v>51</v>
      </c>
      <c r="S43" s="70">
        <f>'SLR Raw'!U45</f>
        <v>614</v>
      </c>
      <c r="T43" s="70">
        <f>'SLR Raw'!V45</f>
        <v>64</v>
      </c>
      <c r="U43" s="221">
        <f t="shared" si="1"/>
        <v>678</v>
      </c>
      <c r="V43" s="12">
        <v>50025</v>
      </c>
      <c r="W43" s="12">
        <v>4886</v>
      </c>
      <c r="X43" s="75">
        <f>C43/'FEMA Flood Zones'!$J41</f>
        <v>0</v>
      </c>
      <c r="Y43" s="74">
        <f>D43/'FEMA Flood Zones'!$K41</f>
        <v>0</v>
      </c>
      <c r="Z43" s="74">
        <f>E43/'FEMA Flood Zones'!$J41</f>
        <v>1.199400299850075E-4</v>
      </c>
      <c r="AA43" s="74">
        <f>F43/'FEMA Flood Zones'!$K41</f>
        <v>0</v>
      </c>
      <c r="AB43" s="74">
        <f>G43/'FEMA Flood Zones'!$J41</f>
        <v>1.5992003998001E-4</v>
      </c>
      <c r="AC43" s="74">
        <f>H43/'FEMA Flood Zones'!$K41</f>
        <v>0</v>
      </c>
      <c r="AD43" s="74">
        <f>I43/'FEMA Flood Zones'!$J41</f>
        <v>9.9950024987506249E-5</v>
      </c>
      <c r="AE43" s="74">
        <f>J43/'FEMA Flood Zones'!$K41</f>
        <v>0</v>
      </c>
      <c r="AF43" s="74">
        <f>K43/'FEMA Flood Zones'!$J41</f>
        <v>1.5592203898050975E-3</v>
      </c>
      <c r="AG43" s="74">
        <f>L43/'FEMA Flood Zones'!$K41</f>
        <v>3.6839950880065493E-3</v>
      </c>
      <c r="AH43" s="74">
        <f>M43/'FEMA Flood Zones'!$J41</f>
        <v>1.8590704647676161E-3</v>
      </c>
      <c r="AI43" s="74">
        <f>N43/'FEMA Flood Zones'!$K41</f>
        <v>4.7073270568972576E-3</v>
      </c>
      <c r="AJ43" s="74">
        <f>O43/'FEMA Flood Zones'!$J41</f>
        <v>7.9960019990005002E-2</v>
      </c>
      <c r="AK43" s="74">
        <f>P43/'FEMA Flood Zones'!$K41</f>
        <v>8.5345886205485055E-2</v>
      </c>
      <c r="AL43" s="74">
        <f>Q43/'FEMA Flood Zones'!$J41</f>
        <v>8.7956021989005501E-3</v>
      </c>
      <c r="AM43" s="74">
        <f>R43/'FEMA Flood Zones'!$K41</f>
        <v>1.0437986082685223E-2</v>
      </c>
      <c r="AN43" s="74">
        <f>S43/'FEMA Flood Zones'!$J41</f>
        <v>1.2273863068465767E-2</v>
      </c>
      <c r="AO43" s="74">
        <f>T43/'FEMA Flood Zones'!$K41</f>
        <v>1.3098649201801064E-2</v>
      </c>
      <c r="AP43" s="224">
        <f t="shared" si="2"/>
        <v>1.2347252827302362E-2</v>
      </c>
      <c r="AQ43" s="4">
        <f t="shared" si="4"/>
        <v>28</v>
      </c>
      <c r="AR43" s="210">
        <f t="shared" si="3"/>
        <v>42</v>
      </c>
    </row>
    <row r="44" spans="1:44" x14ac:dyDescent="0.25">
      <c r="A44" s="15" t="s">
        <v>30</v>
      </c>
      <c r="B44" s="15" t="s">
        <v>50</v>
      </c>
      <c r="C44" s="69">
        <f>'SLR Raw'!C46</f>
        <v>0</v>
      </c>
      <c r="D44" s="69">
        <f>'SLR Raw'!D46</f>
        <v>0</v>
      </c>
      <c r="E44" s="69">
        <f>'SLR Raw'!E46</f>
        <v>0</v>
      </c>
      <c r="F44" s="69">
        <f>'SLR Raw'!F46</f>
        <v>0</v>
      </c>
      <c r="G44" s="69">
        <f>'SLR Raw'!G46</f>
        <v>0</v>
      </c>
      <c r="H44" s="69">
        <f>'SLR Raw'!H46</f>
        <v>0</v>
      </c>
      <c r="I44" s="69">
        <f>'SLR Raw'!I46</f>
        <v>0</v>
      </c>
      <c r="J44" s="69">
        <f>'SLR Raw'!J46</f>
        <v>0</v>
      </c>
      <c r="K44" s="69">
        <f>'SLR Raw'!M46</f>
        <v>0</v>
      </c>
      <c r="L44" s="69">
        <f>'SLR Raw'!N46</f>
        <v>0</v>
      </c>
      <c r="M44" s="69">
        <f>'SLR Raw'!O46</f>
        <v>0</v>
      </c>
      <c r="N44" s="69">
        <f>'SLR Raw'!P46</f>
        <v>0</v>
      </c>
      <c r="O44" s="69">
        <f>'SLR Raw'!Q46</f>
        <v>0</v>
      </c>
      <c r="P44" s="69">
        <f>'SLR Raw'!R46</f>
        <v>0</v>
      </c>
      <c r="Q44" s="69">
        <f>'SLR Raw'!S46</f>
        <v>0</v>
      </c>
      <c r="R44" s="69">
        <f>'SLR Raw'!T46</f>
        <v>0</v>
      </c>
      <c r="S44" s="69">
        <f>'SLR Raw'!U46</f>
        <v>0</v>
      </c>
      <c r="T44" s="69">
        <f>'SLR Raw'!V46</f>
        <v>0</v>
      </c>
      <c r="U44" s="222">
        <f t="shared" si="1"/>
        <v>0</v>
      </c>
      <c r="V44" s="17">
        <v>12122</v>
      </c>
      <c r="W44" s="17">
        <v>14591</v>
      </c>
      <c r="X44" s="76">
        <f>C44/'FEMA Flood Zones'!$J42</f>
        <v>0</v>
      </c>
      <c r="Y44" s="73">
        <f>D44/'FEMA Flood Zones'!$K42</f>
        <v>0</v>
      </c>
      <c r="Z44" s="73">
        <f>E44/'FEMA Flood Zones'!$J42</f>
        <v>0</v>
      </c>
      <c r="AA44" s="73">
        <f>F44/'FEMA Flood Zones'!$K42</f>
        <v>0</v>
      </c>
      <c r="AB44" s="73">
        <f>G44/'FEMA Flood Zones'!$J42</f>
        <v>0</v>
      </c>
      <c r="AC44" s="73">
        <f>H44/'FEMA Flood Zones'!$K42</f>
        <v>0</v>
      </c>
      <c r="AD44" s="73">
        <f>I44/'FEMA Flood Zones'!$J42</f>
        <v>0</v>
      </c>
      <c r="AE44" s="73">
        <f>J44/'FEMA Flood Zones'!$K42</f>
        <v>0</v>
      </c>
      <c r="AF44" s="73">
        <f>K44/'FEMA Flood Zones'!$J42</f>
        <v>0</v>
      </c>
      <c r="AG44" s="73">
        <f>L44/'FEMA Flood Zones'!$K42</f>
        <v>0</v>
      </c>
      <c r="AH44" s="73">
        <f>M44/'FEMA Flood Zones'!$J42</f>
        <v>0</v>
      </c>
      <c r="AI44" s="73">
        <f>N44/'FEMA Flood Zones'!$K42</f>
        <v>0</v>
      </c>
      <c r="AJ44" s="73">
        <f>O44/'FEMA Flood Zones'!$J42</f>
        <v>0</v>
      </c>
      <c r="AK44" s="73">
        <f>P44/'FEMA Flood Zones'!$K42</f>
        <v>0</v>
      </c>
      <c r="AL44" s="73">
        <f>Q44/'FEMA Flood Zones'!$J42</f>
        <v>0</v>
      </c>
      <c r="AM44" s="73">
        <f>R44/'FEMA Flood Zones'!$K42</f>
        <v>0</v>
      </c>
      <c r="AN44" s="73">
        <f>S44/'FEMA Flood Zones'!$J42</f>
        <v>0</v>
      </c>
      <c r="AO44" s="73">
        <f>T44/'FEMA Flood Zones'!$K42</f>
        <v>0</v>
      </c>
      <c r="AP44" s="225">
        <f t="shared" si="2"/>
        <v>0</v>
      </c>
      <c r="AQ44" s="164">
        <f t="shared" si="4"/>
        <v>60</v>
      </c>
      <c r="AR44" s="211">
        <f t="shared" si="3"/>
        <v>60</v>
      </c>
    </row>
    <row r="45" spans="1:44" x14ac:dyDescent="0.25">
      <c r="A45" s="2" t="s">
        <v>51</v>
      </c>
      <c r="B45" s="2" t="s">
        <v>52</v>
      </c>
      <c r="C45" s="67">
        <f>'SLR Raw'!C47+'SLR Raw'!W47</f>
        <v>31</v>
      </c>
      <c r="D45" s="67">
        <f>'SLR Raw'!D47+'SLR Raw'!X47</f>
        <v>2</v>
      </c>
      <c r="E45" s="67">
        <f>'SLR Raw'!E47+'SLR Raw'!Y47</f>
        <v>35</v>
      </c>
      <c r="F45" s="67">
        <f>'SLR Raw'!F47+'SLR Raw'!Z47</f>
        <v>2</v>
      </c>
      <c r="G45" s="67">
        <f>'SLR Raw'!G47+'SLR Raw'!AA47</f>
        <v>273</v>
      </c>
      <c r="H45" s="67">
        <f>'SLR Raw'!H47+'SLR Raw'!AB47</f>
        <v>23</v>
      </c>
      <c r="I45" s="67">
        <f>'SLR Raw'!I47+'SLR Raw'!AC47</f>
        <v>301</v>
      </c>
      <c r="J45" s="67">
        <f>'SLR Raw'!J47+'SLR Raw'!AD47</f>
        <v>23</v>
      </c>
      <c r="K45" s="67">
        <f>'SLR Raw'!M47+'SLR Raw'!AE47</f>
        <v>308</v>
      </c>
      <c r="L45" s="67">
        <f>'SLR Raw'!N47+'SLR Raw'!AF47</f>
        <v>24</v>
      </c>
      <c r="M45" s="67">
        <f>'SLR Raw'!O47+'SLR Raw'!AG47</f>
        <v>316</v>
      </c>
      <c r="N45" s="67">
        <f>'SLR Raw'!P47+'SLR Raw'!AH47</f>
        <v>25</v>
      </c>
      <c r="O45" s="70">
        <f>'SLR Raw'!Q47+'SLR Raw'!AI47</f>
        <v>326</v>
      </c>
      <c r="P45" s="70">
        <f>'SLR Raw'!R47+'SLR Raw'!AJ47</f>
        <v>25</v>
      </c>
      <c r="Q45" s="70">
        <f>'SLR Raw'!S47+'SLR Raw'!AK47</f>
        <v>338</v>
      </c>
      <c r="R45" s="70">
        <f>'SLR Raw'!T47+'SLR Raw'!AL47</f>
        <v>25</v>
      </c>
      <c r="S45" s="70">
        <f>'SLR Raw'!U47+'SLR Raw'!AM47</f>
        <v>341</v>
      </c>
      <c r="T45" s="70">
        <f>'SLR Raw'!V47+'SLR Raw'!AN47</f>
        <v>25</v>
      </c>
      <c r="U45" s="221">
        <f t="shared" si="1"/>
        <v>366</v>
      </c>
      <c r="V45" s="14">
        <v>831</v>
      </c>
      <c r="W45" s="14">
        <v>40</v>
      </c>
      <c r="X45" s="75">
        <f>C45/'FEMA Flood Zones'!$J43</f>
        <v>3.7304452466907341E-2</v>
      </c>
      <c r="Y45" s="74">
        <f>D45/'FEMA Flood Zones'!$K43</f>
        <v>0.05</v>
      </c>
      <c r="Z45" s="74">
        <f>E45/'FEMA Flood Zones'!$J43</f>
        <v>4.2117930204572801E-2</v>
      </c>
      <c r="AA45" s="74">
        <f>F45/'FEMA Flood Zones'!$K43</f>
        <v>0.05</v>
      </c>
      <c r="AB45" s="74">
        <f>G45/'FEMA Flood Zones'!$J43</f>
        <v>0.32851985559566788</v>
      </c>
      <c r="AC45" s="74">
        <f>H45/'FEMA Flood Zones'!$K43</f>
        <v>0.57499999999999996</v>
      </c>
      <c r="AD45" s="74">
        <f>I45/'FEMA Flood Zones'!$J43</f>
        <v>0.36221419975932612</v>
      </c>
      <c r="AE45" s="74">
        <f>J45/'FEMA Flood Zones'!$K43</f>
        <v>0.57499999999999996</v>
      </c>
      <c r="AF45" s="74">
        <f>K45/'FEMA Flood Zones'!$J43</f>
        <v>0.37063778580024065</v>
      </c>
      <c r="AG45" s="74">
        <f>L45/'FEMA Flood Zones'!$K43</f>
        <v>0.6</v>
      </c>
      <c r="AH45" s="74">
        <f>M45/'FEMA Flood Zones'!$J43</f>
        <v>0.38026474127557158</v>
      </c>
      <c r="AI45" s="74">
        <f>N45/'FEMA Flood Zones'!$K43</f>
        <v>0.625</v>
      </c>
      <c r="AJ45" s="74">
        <f>O45/'FEMA Flood Zones'!$J43</f>
        <v>0.39229843561973526</v>
      </c>
      <c r="AK45" s="74">
        <f>P45/'FEMA Flood Zones'!$K43</f>
        <v>0.625</v>
      </c>
      <c r="AL45" s="74">
        <f>Q45/'FEMA Flood Zones'!$J43</f>
        <v>0.40673886883273164</v>
      </c>
      <c r="AM45" s="74">
        <f>R45/'FEMA Flood Zones'!$K43</f>
        <v>0.625</v>
      </c>
      <c r="AN45" s="74">
        <f>S45/'FEMA Flood Zones'!$J43</f>
        <v>0.41034897713598073</v>
      </c>
      <c r="AO45" s="74">
        <f>T45/'FEMA Flood Zones'!$K43</f>
        <v>0.625</v>
      </c>
      <c r="AP45" s="224">
        <f t="shared" si="2"/>
        <v>0.42020665901262916</v>
      </c>
      <c r="AQ45" s="4">
        <f t="shared" si="4"/>
        <v>34</v>
      </c>
      <c r="AR45" s="210">
        <f t="shared" si="3"/>
        <v>6</v>
      </c>
    </row>
    <row r="46" spans="1:44" x14ac:dyDescent="0.25">
      <c r="A46" s="2" t="s">
        <v>51</v>
      </c>
      <c r="B46" s="2" t="s">
        <v>53</v>
      </c>
      <c r="C46" s="70">
        <f>'SLR Raw'!C48+'SLR Raw'!W48</f>
        <v>294</v>
      </c>
      <c r="D46" s="70">
        <f>'SLR Raw'!D48+'SLR Raw'!X48</f>
        <v>3</v>
      </c>
      <c r="E46" s="70">
        <f>'SLR Raw'!E48+'SLR Raw'!Y48</f>
        <v>538</v>
      </c>
      <c r="F46" s="70">
        <f>'SLR Raw'!F48+'SLR Raw'!Z48</f>
        <v>5</v>
      </c>
      <c r="G46" s="70">
        <f>'SLR Raw'!G48+'SLR Raw'!AA48</f>
        <v>690</v>
      </c>
      <c r="H46" s="70">
        <f>'SLR Raw'!H48+'SLR Raw'!AB48</f>
        <v>5</v>
      </c>
      <c r="I46" s="70">
        <f>'SLR Raw'!I48+'SLR Raw'!AC48</f>
        <v>884</v>
      </c>
      <c r="J46" s="70">
        <f>'SLR Raw'!J48+'SLR Raw'!AD48</f>
        <v>5</v>
      </c>
      <c r="K46" s="70">
        <f>'SLR Raw'!M48+'SLR Raw'!AE48</f>
        <v>1140</v>
      </c>
      <c r="L46" s="70">
        <f>'SLR Raw'!N48+'SLR Raw'!AF48</f>
        <v>9</v>
      </c>
      <c r="M46" s="70">
        <f>'SLR Raw'!O48+'SLR Raw'!AG48</f>
        <v>1189</v>
      </c>
      <c r="N46" s="70">
        <f>'SLR Raw'!P48+'SLR Raw'!AH48</f>
        <v>10</v>
      </c>
      <c r="O46" s="70">
        <f>'SLR Raw'!Q48+'SLR Raw'!AI48</f>
        <v>1211</v>
      </c>
      <c r="P46" s="70">
        <f>'SLR Raw'!R48+'SLR Raw'!AJ48</f>
        <v>14</v>
      </c>
      <c r="Q46" s="70">
        <f>'SLR Raw'!S48+'SLR Raw'!AK48</f>
        <v>1238</v>
      </c>
      <c r="R46" s="70">
        <f>'SLR Raw'!T48+'SLR Raw'!AL48</f>
        <v>16</v>
      </c>
      <c r="S46" s="70">
        <f>'SLR Raw'!U48+'SLR Raw'!AM48</f>
        <v>1258</v>
      </c>
      <c r="T46" s="70">
        <f>'SLR Raw'!V48+'SLR Raw'!AN48</f>
        <v>17</v>
      </c>
      <c r="U46" s="221">
        <f t="shared" si="1"/>
        <v>1275</v>
      </c>
      <c r="V46" s="14">
        <v>3140</v>
      </c>
      <c r="W46" s="14">
        <v>115</v>
      </c>
      <c r="X46" s="75">
        <f>C46/'FEMA Flood Zones'!$J44</f>
        <v>9.3630573248407636E-2</v>
      </c>
      <c r="Y46" s="74">
        <f>D46/'FEMA Flood Zones'!$K44</f>
        <v>2.6086956521739129E-2</v>
      </c>
      <c r="Z46" s="74">
        <f>E46/'FEMA Flood Zones'!$J44</f>
        <v>0.17133757961783438</v>
      </c>
      <c r="AA46" s="74">
        <f>F46/'FEMA Flood Zones'!$K44</f>
        <v>4.3478260869565216E-2</v>
      </c>
      <c r="AB46" s="74">
        <f>G46/'FEMA Flood Zones'!$J44</f>
        <v>0.21974522292993631</v>
      </c>
      <c r="AC46" s="74">
        <f>H46/'FEMA Flood Zones'!$K44</f>
        <v>4.3478260869565216E-2</v>
      </c>
      <c r="AD46" s="74">
        <f>I46/'FEMA Flood Zones'!$J44</f>
        <v>0.28152866242038216</v>
      </c>
      <c r="AE46" s="74">
        <f>J46/'FEMA Flood Zones'!$K44</f>
        <v>4.3478260869565216E-2</v>
      </c>
      <c r="AF46" s="74">
        <f>K46/'FEMA Flood Zones'!$J44</f>
        <v>0.36305732484076431</v>
      </c>
      <c r="AG46" s="74">
        <f>L46/'FEMA Flood Zones'!$K44</f>
        <v>7.8260869565217397E-2</v>
      </c>
      <c r="AH46" s="74">
        <f>M46/'FEMA Flood Zones'!$J44</f>
        <v>0.37866242038216563</v>
      </c>
      <c r="AI46" s="74">
        <f>N46/'FEMA Flood Zones'!$K44</f>
        <v>8.6956521739130432E-2</v>
      </c>
      <c r="AJ46" s="74">
        <f>O46/'FEMA Flood Zones'!$J44</f>
        <v>0.38566878980891722</v>
      </c>
      <c r="AK46" s="74">
        <f>P46/'FEMA Flood Zones'!$K44</f>
        <v>0.12173913043478261</v>
      </c>
      <c r="AL46" s="74">
        <f>Q46/'FEMA Flood Zones'!$J44</f>
        <v>0.3942675159235669</v>
      </c>
      <c r="AM46" s="74">
        <f>R46/'FEMA Flood Zones'!$K44</f>
        <v>0.1391304347826087</v>
      </c>
      <c r="AN46" s="74">
        <f>S46/'FEMA Flood Zones'!$J44</f>
        <v>0.40063694267515926</v>
      </c>
      <c r="AO46" s="74">
        <f>T46/'FEMA Flood Zones'!$K44</f>
        <v>0.14782608695652175</v>
      </c>
      <c r="AP46" s="224">
        <f t="shared" si="2"/>
        <v>0.39170506912442399</v>
      </c>
      <c r="AQ46" s="4">
        <f t="shared" si="4"/>
        <v>19</v>
      </c>
      <c r="AR46" s="210">
        <f t="shared" si="3"/>
        <v>7</v>
      </c>
    </row>
    <row r="47" spans="1:44" x14ac:dyDescent="0.25">
      <c r="A47" s="2" t="s">
        <v>51</v>
      </c>
      <c r="B47" s="2" t="s">
        <v>54</v>
      </c>
      <c r="C47" s="70">
        <f>'SLR Raw'!C49+'SLR Raw'!W49</f>
        <v>0</v>
      </c>
      <c r="D47" s="70">
        <f>'SLR Raw'!D49+'SLR Raw'!X49</f>
        <v>0</v>
      </c>
      <c r="E47" s="70">
        <f>'SLR Raw'!E49+'SLR Raw'!Y49</f>
        <v>0</v>
      </c>
      <c r="F47" s="70">
        <f>'SLR Raw'!F49+'SLR Raw'!Z49</f>
        <v>0</v>
      </c>
      <c r="G47" s="70">
        <f>'SLR Raw'!G49+'SLR Raw'!AA49</f>
        <v>0</v>
      </c>
      <c r="H47" s="70">
        <f>'SLR Raw'!H49+'SLR Raw'!AB49</f>
        <v>0</v>
      </c>
      <c r="I47" s="70">
        <f>'SLR Raw'!I49+'SLR Raw'!AC49</f>
        <v>0</v>
      </c>
      <c r="J47" s="70">
        <f>'SLR Raw'!J49+'SLR Raw'!AD49</f>
        <v>0</v>
      </c>
      <c r="K47" s="70">
        <f>'SLR Raw'!M49+'SLR Raw'!AE49</f>
        <v>0</v>
      </c>
      <c r="L47" s="70">
        <f>'SLR Raw'!N49+'SLR Raw'!AF49</f>
        <v>0</v>
      </c>
      <c r="M47" s="70">
        <f>'SLR Raw'!O49+'SLR Raw'!AG49</f>
        <v>0</v>
      </c>
      <c r="N47" s="70">
        <f>'SLR Raw'!P49+'SLR Raw'!AH49</f>
        <v>0</v>
      </c>
      <c r="O47" s="70">
        <f>'SLR Raw'!Q49+'SLR Raw'!AI49</f>
        <v>0</v>
      </c>
      <c r="P47" s="70">
        <f>'SLR Raw'!R49+'SLR Raw'!AJ49</f>
        <v>0</v>
      </c>
      <c r="Q47" s="70">
        <f>'SLR Raw'!S49+'SLR Raw'!AK49</f>
        <v>0</v>
      </c>
      <c r="R47" s="70">
        <f>'SLR Raw'!T49+'SLR Raw'!AL49</f>
        <v>0</v>
      </c>
      <c r="S47" s="70">
        <f>'SLR Raw'!U49+'SLR Raw'!AM49</f>
        <v>0</v>
      </c>
      <c r="T47" s="70">
        <f>'SLR Raw'!V49+'SLR Raw'!AN49</f>
        <v>0</v>
      </c>
      <c r="U47" s="221">
        <f t="shared" si="1"/>
        <v>0</v>
      </c>
      <c r="V47" s="14">
        <v>2309</v>
      </c>
      <c r="W47" s="14">
        <v>311</v>
      </c>
      <c r="X47" s="75">
        <f>C47/'FEMA Flood Zones'!$J45</f>
        <v>0</v>
      </c>
      <c r="Y47" s="74">
        <f>D47/'FEMA Flood Zones'!$K45</f>
        <v>0</v>
      </c>
      <c r="Z47" s="74">
        <f>E47/'FEMA Flood Zones'!$J45</f>
        <v>0</v>
      </c>
      <c r="AA47" s="74">
        <f>F47/'FEMA Flood Zones'!$K45</f>
        <v>0</v>
      </c>
      <c r="AB47" s="74">
        <f>G47/'FEMA Flood Zones'!$J45</f>
        <v>0</v>
      </c>
      <c r="AC47" s="74">
        <f>H47/'FEMA Flood Zones'!$K45</f>
        <v>0</v>
      </c>
      <c r="AD47" s="74">
        <f>I47/'FEMA Flood Zones'!$J45</f>
        <v>0</v>
      </c>
      <c r="AE47" s="74">
        <f>J47/'FEMA Flood Zones'!$K45</f>
        <v>0</v>
      </c>
      <c r="AF47" s="74">
        <f>K47/'FEMA Flood Zones'!$J45</f>
        <v>0</v>
      </c>
      <c r="AG47" s="74">
        <f>L47/'FEMA Flood Zones'!$K45</f>
        <v>0</v>
      </c>
      <c r="AH47" s="74">
        <f>M47/'FEMA Flood Zones'!$J45</f>
        <v>0</v>
      </c>
      <c r="AI47" s="74">
        <f>N47/'FEMA Flood Zones'!$K45</f>
        <v>0</v>
      </c>
      <c r="AJ47" s="74">
        <f>O47/'FEMA Flood Zones'!$J45</f>
        <v>0</v>
      </c>
      <c r="AK47" s="74">
        <f>P47/'FEMA Flood Zones'!$K45</f>
        <v>0</v>
      </c>
      <c r="AL47" s="74">
        <f>Q47/'FEMA Flood Zones'!$J45</f>
        <v>0</v>
      </c>
      <c r="AM47" s="74">
        <f>R47/'FEMA Flood Zones'!$K45</f>
        <v>0</v>
      </c>
      <c r="AN47" s="74">
        <f>S47/'FEMA Flood Zones'!$J45</f>
        <v>0</v>
      </c>
      <c r="AO47" s="74">
        <f>T47/'FEMA Flood Zones'!$K45</f>
        <v>0</v>
      </c>
      <c r="AP47" s="224">
        <f t="shared" si="2"/>
        <v>0</v>
      </c>
      <c r="AQ47" s="4">
        <f t="shared" si="4"/>
        <v>60</v>
      </c>
      <c r="AR47" s="210">
        <f t="shared" si="3"/>
        <v>60</v>
      </c>
    </row>
    <row r="48" spans="1:44" x14ac:dyDescent="0.25">
      <c r="A48" s="2" t="s">
        <v>51</v>
      </c>
      <c r="B48" s="2" t="s">
        <v>55</v>
      </c>
      <c r="C48" s="70">
        <f>'SLR Raw'!C50+'SLR Raw'!W50</f>
        <v>115</v>
      </c>
      <c r="D48" s="70">
        <f>'SLR Raw'!D50+'SLR Raw'!X50</f>
        <v>4</v>
      </c>
      <c r="E48" s="70">
        <f>'SLR Raw'!E50+'SLR Raw'!Y50</f>
        <v>268</v>
      </c>
      <c r="F48" s="70">
        <f>'SLR Raw'!F50+'SLR Raw'!Z50</f>
        <v>6</v>
      </c>
      <c r="G48" s="70">
        <f>'SLR Raw'!G50+'SLR Raw'!AA50</f>
        <v>373</v>
      </c>
      <c r="H48" s="70">
        <f>'SLR Raw'!H50+'SLR Raw'!AB50</f>
        <v>10</v>
      </c>
      <c r="I48" s="70">
        <f>'SLR Raw'!I50+'SLR Raw'!AC50</f>
        <v>521</v>
      </c>
      <c r="J48" s="70">
        <f>'SLR Raw'!J50+'SLR Raw'!AD50</f>
        <v>16</v>
      </c>
      <c r="K48" s="70">
        <f>'SLR Raw'!M50+'SLR Raw'!AE50</f>
        <v>726</v>
      </c>
      <c r="L48" s="70">
        <f>'SLR Raw'!N50+'SLR Raw'!AF50</f>
        <v>28</v>
      </c>
      <c r="M48" s="70">
        <f>'SLR Raw'!O50+'SLR Raw'!AG50</f>
        <v>846</v>
      </c>
      <c r="N48" s="70">
        <f>'SLR Raw'!P50+'SLR Raw'!AH50</f>
        <v>33</v>
      </c>
      <c r="O48" s="70">
        <f>'SLR Raw'!Q50+'SLR Raw'!AI50</f>
        <v>897</v>
      </c>
      <c r="P48" s="70">
        <f>'SLR Raw'!R50+'SLR Raw'!AJ50</f>
        <v>33</v>
      </c>
      <c r="Q48" s="70">
        <f>'SLR Raw'!S50+'SLR Raw'!AK50</f>
        <v>1005</v>
      </c>
      <c r="R48" s="70">
        <f>'SLR Raw'!T50+'SLR Raw'!AL50</f>
        <v>34</v>
      </c>
      <c r="S48" s="70">
        <f>'SLR Raw'!U50+'SLR Raw'!AM50</f>
        <v>1081</v>
      </c>
      <c r="T48" s="70">
        <f>'SLR Raw'!V50+'SLR Raw'!AN50</f>
        <v>34</v>
      </c>
      <c r="U48" s="221">
        <f t="shared" si="1"/>
        <v>1115</v>
      </c>
      <c r="V48" s="14">
        <v>3669</v>
      </c>
      <c r="W48" s="14">
        <v>200</v>
      </c>
      <c r="X48" s="75">
        <f>C48/'FEMA Flood Zones'!$J46</f>
        <v>3.134369037884982E-2</v>
      </c>
      <c r="Y48" s="74">
        <f>D48/'FEMA Flood Zones'!$K46</f>
        <v>0.02</v>
      </c>
      <c r="Z48" s="74">
        <f>E48/'FEMA Flood Zones'!$J46</f>
        <v>7.3044426274189153E-2</v>
      </c>
      <c r="AA48" s="74">
        <f>F48/'FEMA Flood Zones'!$K46</f>
        <v>0.03</v>
      </c>
      <c r="AB48" s="74">
        <f>G48/'FEMA Flood Zones'!$J46</f>
        <v>0.10166257835922594</v>
      </c>
      <c r="AC48" s="74">
        <f>H48/'FEMA Flood Zones'!$K46</f>
        <v>0.05</v>
      </c>
      <c r="AD48" s="74">
        <f>I48/'FEMA Flood Zones'!$J46</f>
        <v>0.14200054510765875</v>
      </c>
      <c r="AE48" s="74">
        <f>J48/'FEMA Flood Zones'!$K46</f>
        <v>0.08</v>
      </c>
      <c r="AF48" s="74">
        <f>K48/'FEMA Flood Zones'!$J46</f>
        <v>0.19787408013082583</v>
      </c>
      <c r="AG48" s="74">
        <f>L48/'FEMA Flood Zones'!$K46</f>
        <v>0.14000000000000001</v>
      </c>
      <c r="AH48" s="74">
        <f>M48/'FEMA Flood Zones'!$J46</f>
        <v>0.23058053965658218</v>
      </c>
      <c r="AI48" s="74">
        <f>N48/'FEMA Flood Zones'!$K46</f>
        <v>0.16500000000000001</v>
      </c>
      <c r="AJ48" s="74">
        <f>O48/'FEMA Flood Zones'!$J46</f>
        <v>0.24448078495502862</v>
      </c>
      <c r="AK48" s="74">
        <f>P48/'FEMA Flood Zones'!$K46</f>
        <v>0.16500000000000001</v>
      </c>
      <c r="AL48" s="74">
        <f>Q48/'FEMA Flood Zones'!$J46</f>
        <v>0.27391659852820932</v>
      </c>
      <c r="AM48" s="74">
        <f>R48/'FEMA Flood Zones'!$K46</f>
        <v>0.17</v>
      </c>
      <c r="AN48" s="74">
        <f>S48/'FEMA Flood Zones'!$J46</f>
        <v>0.29463068956118832</v>
      </c>
      <c r="AO48" s="74">
        <f>T48/'FEMA Flood Zones'!$K46</f>
        <v>0.17</v>
      </c>
      <c r="AP48" s="224">
        <f t="shared" si="2"/>
        <v>0.28818816231584388</v>
      </c>
      <c r="AQ48" s="4">
        <f t="shared" si="4"/>
        <v>20</v>
      </c>
      <c r="AR48" s="210">
        <f t="shared" si="3"/>
        <v>8</v>
      </c>
    </row>
    <row r="49" spans="1:44" x14ac:dyDescent="0.25">
      <c r="A49" s="2" t="s">
        <v>51</v>
      </c>
      <c r="B49" s="2" t="s">
        <v>56</v>
      </c>
      <c r="C49" s="70">
        <f>'SLR Raw'!C51+'SLR Raw'!W51</f>
        <v>28</v>
      </c>
      <c r="D49" s="70">
        <f>'SLR Raw'!D51+'SLR Raw'!X51</f>
        <v>1</v>
      </c>
      <c r="E49" s="70">
        <f>'SLR Raw'!E51+'SLR Raw'!Y51</f>
        <v>31</v>
      </c>
      <c r="F49" s="70">
        <f>'SLR Raw'!F51+'SLR Raw'!Z51</f>
        <v>1</v>
      </c>
      <c r="G49" s="70">
        <f>'SLR Raw'!G51+'SLR Raw'!AA51</f>
        <v>82</v>
      </c>
      <c r="H49" s="70">
        <f>'SLR Raw'!H51+'SLR Raw'!AB51</f>
        <v>1</v>
      </c>
      <c r="I49" s="70">
        <f>'SLR Raw'!I51+'SLR Raw'!AC51</f>
        <v>178</v>
      </c>
      <c r="J49" s="70">
        <f>'SLR Raw'!J51+'SLR Raw'!AD51</f>
        <v>2</v>
      </c>
      <c r="K49" s="70">
        <f>'SLR Raw'!M51+'SLR Raw'!AE51</f>
        <v>361</v>
      </c>
      <c r="L49" s="70">
        <f>'SLR Raw'!N51+'SLR Raw'!AF51</f>
        <v>2</v>
      </c>
      <c r="M49" s="70">
        <f>'SLR Raw'!O51+'SLR Raw'!AG51</f>
        <v>488</v>
      </c>
      <c r="N49" s="70">
        <f>'SLR Raw'!P51+'SLR Raw'!AH51</f>
        <v>4</v>
      </c>
      <c r="O49" s="70">
        <f>'SLR Raw'!Q51+'SLR Raw'!AI51</f>
        <v>544</v>
      </c>
      <c r="P49" s="70">
        <f>'SLR Raw'!R51+'SLR Raw'!AJ51</f>
        <v>6</v>
      </c>
      <c r="Q49" s="70">
        <f>'SLR Raw'!S51+'SLR Raw'!AK51</f>
        <v>629</v>
      </c>
      <c r="R49" s="70">
        <f>'SLR Raw'!T51+'SLR Raw'!AL51</f>
        <v>9</v>
      </c>
      <c r="S49" s="70">
        <f>'SLR Raw'!U51+'SLR Raw'!AM51</f>
        <v>666</v>
      </c>
      <c r="T49" s="70">
        <f>'SLR Raw'!V51+'SLR Raw'!AN51</f>
        <v>11</v>
      </c>
      <c r="U49" s="221">
        <f t="shared" si="1"/>
        <v>677</v>
      </c>
      <c r="V49" s="14">
        <v>4552</v>
      </c>
      <c r="W49" s="14">
        <v>419</v>
      </c>
      <c r="X49" s="75">
        <f>C49/'FEMA Flood Zones'!$J47</f>
        <v>6.1511423550087872E-3</v>
      </c>
      <c r="Y49" s="74">
        <f>D49/'FEMA Flood Zones'!$K47</f>
        <v>2.3866348448687352E-3</v>
      </c>
      <c r="Z49" s="74">
        <f>E49/'FEMA Flood Zones'!$J47</f>
        <v>6.810193321616872E-3</v>
      </c>
      <c r="AA49" s="74">
        <f>F49/'FEMA Flood Zones'!$K47</f>
        <v>2.3866348448687352E-3</v>
      </c>
      <c r="AB49" s="74">
        <f>G49/'FEMA Flood Zones'!$J47</f>
        <v>1.8014059753954304E-2</v>
      </c>
      <c r="AC49" s="74">
        <f>H49/'FEMA Flood Zones'!$K47</f>
        <v>2.3866348448687352E-3</v>
      </c>
      <c r="AD49" s="74">
        <f>I49/'FEMA Flood Zones'!$J47</f>
        <v>3.9103690685413008E-2</v>
      </c>
      <c r="AE49" s="74">
        <f>J49/'FEMA Flood Zones'!$K47</f>
        <v>4.7732696897374704E-3</v>
      </c>
      <c r="AF49" s="74">
        <f>K49/'FEMA Flood Zones'!$J47</f>
        <v>7.9305799648506148E-2</v>
      </c>
      <c r="AG49" s="74">
        <f>L49/'FEMA Flood Zones'!$K47</f>
        <v>4.7732696897374704E-3</v>
      </c>
      <c r="AH49" s="74">
        <f>M49/'FEMA Flood Zones'!$J47</f>
        <v>0.10720562390158173</v>
      </c>
      <c r="AI49" s="74">
        <f>N49/'FEMA Flood Zones'!$K47</f>
        <v>9.5465393794749408E-3</v>
      </c>
      <c r="AJ49" s="74">
        <f>O49/'FEMA Flood Zones'!$J47</f>
        <v>0.1195079086115993</v>
      </c>
      <c r="AK49" s="74">
        <f>P49/'FEMA Flood Zones'!$K47</f>
        <v>1.4319809069212411E-2</v>
      </c>
      <c r="AL49" s="74">
        <f>Q49/'FEMA Flood Zones'!$J47</f>
        <v>0.13818101933216168</v>
      </c>
      <c r="AM49" s="74">
        <f>R49/'FEMA Flood Zones'!$K47</f>
        <v>2.1479713603818614E-2</v>
      </c>
      <c r="AN49" s="74">
        <f>S49/'FEMA Flood Zones'!$J47</f>
        <v>0.14630931458699473</v>
      </c>
      <c r="AO49" s="74">
        <f>T49/'FEMA Flood Zones'!$K47</f>
        <v>2.6252983293556086E-2</v>
      </c>
      <c r="AP49" s="224">
        <f t="shared" si="2"/>
        <v>0.13618990142828405</v>
      </c>
      <c r="AQ49" s="4">
        <f t="shared" si="4"/>
        <v>26</v>
      </c>
      <c r="AR49" s="210">
        <f t="shared" si="3"/>
        <v>17</v>
      </c>
    </row>
    <row r="50" spans="1:44" x14ac:dyDescent="0.25">
      <c r="A50" s="2" t="s">
        <v>51</v>
      </c>
      <c r="B50" s="2" t="s">
        <v>57</v>
      </c>
      <c r="C50" s="70">
        <f>'SLR Raw'!C52+'SLR Raw'!W52</f>
        <v>1</v>
      </c>
      <c r="D50" s="70">
        <f>'SLR Raw'!D52+'SLR Raw'!X52</f>
        <v>0</v>
      </c>
      <c r="E50" s="70">
        <f>'SLR Raw'!E52+'SLR Raw'!Y52</f>
        <v>1</v>
      </c>
      <c r="F50" s="70">
        <f>'SLR Raw'!F52+'SLR Raw'!Z52</f>
        <v>0</v>
      </c>
      <c r="G50" s="70">
        <f>'SLR Raw'!G52+'SLR Raw'!AA52</f>
        <v>5</v>
      </c>
      <c r="H50" s="70">
        <f>'SLR Raw'!H52+'SLR Raw'!AB52</f>
        <v>0</v>
      </c>
      <c r="I50" s="70">
        <f>'SLR Raw'!I52+'SLR Raw'!AC52</f>
        <v>29</v>
      </c>
      <c r="J50" s="70">
        <f>'SLR Raw'!J52+'SLR Raw'!AD52</f>
        <v>0</v>
      </c>
      <c r="K50" s="70">
        <f>'SLR Raw'!M52+'SLR Raw'!AE52</f>
        <v>882</v>
      </c>
      <c r="L50" s="70">
        <f>'SLR Raw'!N52+'SLR Raw'!AF52</f>
        <v>17</v>
      </c>
      <c r="M50" s="70">
        <f>'SLR Raw'!O52+'SLR Raw'!AG52</f>
        <v>1011</v>
      </c>
      <c r="N50" s="70">
        <f>'SLR Raw'!P52+'SLR Raw'!AH52</f>
        <v>18</v>
      </c>
      <c r="O50" s="70">
        <f>'SLR Raw'!Q52+'SLR Raw'!AI52</f>
        <v>1082</v>
      </c>
      <c r="P50" s="70">
        <f>'SLR Raw'!R52+'SLR Raw'!AJ52</f>
        <v>18</v>
      </c>
      <c r="Q50" s="70">
        <f>'SLR Raw'!S52+'SLR Raw'!AK52</f>
        <v>1325</v>
      </c>
      <c r="R50" s="70">
        <f>'SLR Raw'!T52+'SLR Raw'!AL52</f>
        <v>19</v>
      </c>
      <c r="S50" s="70">
        <f>'SLR Raw'!U52+'SLR Raw'!AM52</f>
        <v>1449</v>
      </c>
      <c r="T50" s="70">
        <f>'SLR Raw'!V52+'SLR Raw'!AN52</f>
        <v>20</v>
      </c>
      <c r="U50" s="221">
        <f t="shared" si="1"/>
        <v>1469</v>
      </c>
      <c r="V50" s="14">
        <v>16085</v>
      </c>
      <c r="W50" s="14">
        <v>402</v>
      </c>
      <c r="X50" s="75">
        <f>C50/'FEMA Flood Zones'!$J48</f>
        <v>6.2169723344731112E-5</v>
      </c>
      <c r="Y50" s="74">
        <f>D50/'FEMA Flood Zones'!$K48</f>
        <v>0</v>
      </c>
      <c r="Z50" s="74">
        <f>E50/'FEMA Flood Zones'!$J48</f>
        <v>6.2169723344731112E-5</v>
      </c>
      <c r="AA50" s="74">
        <f>F50/'FEMA Flood Zones'!$K48</f>
        <v>0</v>
      </c>
      <c r="AB50" s="74">
        <f>G50/'FEMA Flood Zones'!$J48</f>
        <v>3.1084861672365556E-4</v>
      </c>
      <c r="AC50" s="74">
        <f>H50/'FEMA Flood Zones'!$K48</f>
        <v>0</v>
      </c>
      <c r="AD50" s="74">
        <f>I50/'FEMA Flood Zones'!$J48</f>
        <v>1.8029219769972024E-3</v>
      </c>
      <c r="AE50" s="74">
        <f>J50/'FEMA Flood Zones'!$K48</f>
        <v>0</v>
      </c>
      <c r="AF50" s="74">
        <f>K50/'FEMA Flood Zones'!$J48</f>
        <v>5.4833695990052847E-2</v>
      </c>
      <c r="AG50" s="74">
        <f>L50/'FEMA Flood Zones'!$K48</f>
        <v>4.228855721393035E-2</v>
      </c>
      <c r="AH50" s="74">
        <f>M50/'FEMA Flood Zones'!$J48</f>
        <v>6.2853590301523155E-2</v>
      </c>
      <c r="AI50" s="74">
        <f>N50/'FEMA Flood Zones'!$K48</f>
        <v>4.4776119402985072E-2</v>
      </c>
      <c r="AJ50" s="74">
        <f>O50/'FEMA Flood Zones'!$J48</f>
        <v>6.7267640658999067E-2</v>
      </c>
      <c r="AK50" s="74">
        <f>P50/'FEMA Flood Zones'!$K48</f>
        <v>4.4776119402985072E-2</v>
      </c>
      <c r="AL50" s="74">
        <f>Q50/'FEMA Flood Zones'!$J48</f>
        <v>8.2374883431768728E-2</v>
      </c>
      <c r="AM50" s="74">
        <f>R50/'FEMA Flood Zones'!$K48</f>
        <v>4.7263681592039801E-2</v>
      </c>
      <c r="AN50" s="74">
        <f>S50/'FEMA Flood Zones'!$J48</f>
        <v>9.0083929126515389E-2</v>
      </c>
      <c r="AO50" s="74">
        <f>T50/'FEMA Flood Zones'!$K48</f>
        <v>4.975124378109453E-2</v>
      </c>
      <c r="AP50" s="224">
        <f t="shared" si="2"/>
        <v>8.9100503426942437E-2</v>
      </c>
      <c r="AQ50" s="4">
        <f t="shared" si="4"/>
        <v>17</v>
      </c>
      <c r="AR50" s="210">
        <f t="shared" si="3"/>
        <v>21</v>
      </c>
    </row>
    <row r="51" spans="1:44" x14ac:dyDescent="0.25">
      <c r="A51" s="2" t="s">
        <v>51</v>
      </c>
      <c r="B51" s="2" t="s">
        <v>58</v>
      </c>
      <c r="C51" s="70">
        <f>'SLR Raw'!C53+'SLR Raw'!W53</f>
        <v>0</v>
      </c>
      <c r="D51" s="70">
        <f>'SLR Raw'!D53+'SLR Raw'!X53</f>
        <v>0</v>
      </c>
      <c r="E51" s="70">
        <f>'SLR Raw'!E53+'SLR Raw'!Y53</f>
        <v>0</v>
      </c>
      <c r="F51" s="70">
        <f>'SLR Raw'!F53+'SLR Raw'!Z53</f>
        <v>0</v>
      </c>
      <c r="G51" s="70">
        <f>'SLR Raw'!G53+'SLR Raw'!AA53</f>
        <v>0</v>
      </c>
      <c r="H51" s="70">
        <f>'SLR Raw'!H53+'SLR Raw'!AB53</f>
        <v>0</v>
      </c>
      <c r="I51" s="70">
        <f>'SLR Raw'!I53+'SLR Raw'!AC53</f>
        <v>0</v>
      </c>
      <c r="J51" s="70">
        <f>'SLR Raw'!J53+'SLR Raw'!AD53</f>
        <v>0</v>
      </c>
      <c r="K51" s="70">
        <f>'SLR Raw'!M53+'SLR Raw'!AE53</f>
        <v>0</v>
      </c>
      <c r="L51" s="70">
        <f>'SLR Raw'!N53+'SLR Raw'!AF53</f>
        <v>0</v>
      </c>
      <c r="M51" s="70">
        <f>'SLR Raw'!O53+'SLR Raw'!AG53</f>
        <v>0</v>
      </c>
      <c r="N51" s="70">
        <f>'SLR Raw'!P53+'SLR Raw'!AH53</f>
        <v>0</v>
      </c>
      <c r="O51" s="70">
        <f>'SLR Raw'!Q53+'SLR Raw'!AI53</f>
        <v>0</v>
      </c>
      <c r="P51" s="70">
        <f>'SLR Raw'!R53+'SLR Raw'!AJ53</f>
        <v>0</v>
      </c>
      <c r="Q51" s="70">
        <f>'SLR Raw'!S53+'SLR Raw'!AK53</f>
        <v>0</v>
      </c>
      <c r="R51" s="70">
        <f>'SLR Raw'!T53+'SLR Raw'!AL53</f>
        <v>0</v>
      </c>
      <c r="S51" s="70">
        <f>'SLR Raw'!U53+'SLR Raw'!AM53</f>
        <v>1</v>
      </c>
      <c r="T51" s="70">
        <f>'SLR Raw'!V53+'SLR Raw'!AN53</f>
        <v>0</v>
      </c>
      <c r="U51" s="221">
        <f t="shared" si="1"/>
        <v>1</v>
      </c>
      <c r="V51" s="14">
        <v>793</v>
      </c>
      <c r="W51" s="14">
        <v>19</v>
      </c>
      <c r="X51" s="75">
        <f>C51/'FEMA Flood Zones'!$J49</f>
        <v>0</v>
      </c>
      <c r="Y51" s="74">
        <f>D51/'FEMA Flood Zones'!$K49</f>
        <v>0</v>
      </c>
      <c r="Z51" s="74">
        <f>E51/'FEMA Flood Zones'!$J49</f>
        <v>0</v>
      </c>
      <c r="AA51" s="74">
        <f>F51/'FEMA Flood Zones'!$K49</f>
        <v>0</v>
      </c>
      <c r="AB51" s="74">
        <f>G51/'FEMA Flood Zones'!$J49</f>
        <v>0</v>
      </c>
      <c r="AC51" s="74">
        <f>H51/'FEMA Flood Zones'!$K49</f>
        <v>0</v>
      </c>
      <c r="AD51" s="74">
        <f>I51/'FEMA Flood Zones'!$J49</f>
        <v>0</v>
      </c>
      <c r="AE51" s="74">
        <f>J51/'FEMA Flood Zones'!$K49</f>
        <v>0</v>
      </c>
      <c r="AF51" s="74">
        <f>K51/'FEMA Flood Zones'!$J49</f>
        <v>0</v>
      </c>
      <c r="AG51" s="74">
        <f>L51/'FEMA Flood Zones'!$K49</f>
        <v>0</v>
      </c>
      <c r="AH51" s="74">
        <f>M51/'FEMA Flood Zones'!$J49</f>
        <v>0</v>
      </c>
      <c r="AI51" s="74">
        <f>N51/'FEMA Flood Zones'!$K49</f>
        <v>0</v>
      </c>
      <c r="AJ51" s="74">
        <f>O51/'FEMA Flood Zones'!$J49</f>
        <v>0</v>
      </c>
      <c r="AK51" s="74">
        <f>P51/'FEMA Flood Zones'!$K49</f>
        <v>0</v>
      </c>
      <c r="AL51" s="74">
        <f>Q51/'FEMA Flood Zones'!$J49</f>
        <v>0</v>
      </c>
      <c r="AM51" s="74">
        <f>R51/'FEMA Flood Zones'!$K49</f>
        <v>0</v>
      </c>
      <c r="AN51" s="74">
        <f>S51/'FEMA Flood Zones'!$J49</f>
        <v>1.2610340479192938E-3</v>
      </c>
      <c r="AO51" s="74">
        <f>T51/'FEMA Flood Zones'!$K49</f>
        <v>0</v>
      </c>
      <c r="AP51" s="224">
        <f t="shared" si="2"/>
        <v>1.2315270935960591E-3</v>
      </c>
      <c r="AQ51" s="4">
        <f t="shared" si="4"/>
        <v>56</v>
      </c>
      <c r="AR51" s="210">
        <f t="shared" si="3"/>
        <v>53</v>
      </c>
    </row>
    <row r="52" spans="1:44" x14ac:dyDescent="0.25">
      <c r="A52" s="2" t="s">
        <v>51</v>
      </c>
      <c r="B52" s="2" t="s">
        <v>59</v>
      </c>
      <c r="C52" s="70">
        <f>'SLR Raw'!C54+'SLR Raw'!W54</f>
        <v>0</v>
      </c>
      <c r="D52" s="70">
        <f>'SLR Raw'!D54+'SLR Raw'!X54</f>
        <v>0</v>
      </c>
      <c r="E52" s="70">
        <f>'SLR Raw'!E54+'SLR Raw'!Y54</f>
        <v>0</v>
      </c>
      <c r="F52" s="70">
        <f>'SLR Raw'!F54+'SLR Raw'!Z54</f>
        <v>0</v>
      </c>
      <c r="G52" s="70">
        <f>'SLR Raw'!G54+'SLR Raw'!AA54</f>
        <v>0</v>
      </c>
      <c r="H52" s="70">
        <f>'SLR Raw'!H54+'SLR Raw'!AB54</f>
        <v>0</v>
      </c>
      <c r="I52" s="70">
        <f>'SLR Raw'!I54+'SLR Raw'!AC54</f>
        <v>0</v>
      </c>
      <c r="J52" s="70">
        <f>'SLR Raw'!J54+'SLR Raw'!AD54</f>
        <v>0</v>
      </c>
      <c r="K52" s="70">
        <f>'SLR Raw'!M54+'SLR Raw'!AE54</f>
        <v>0</v>
      </c>
      <c r="L52" s="70">
        <f>'SLR Raw'!N54+'SLR Raw'!AF54</f>
        <v>0</v>
      </c>
      <c r="M52" s="70">
        <f>'SLR Raw'!O54+'SLR Raw'!AG54</f>
        <v>0</v>
      </c>
      <c r="N52" s="70">
        <f>'SLR Raw'!P54+'SLR Raw'!AH54</f>
        <v>0</v>
      </c>
      <c r="O52" s="70">
        <f>'SLR Raw'!Q54+'SLR Raw'!AI54</f>
        <v>0</v>
      </c>
      <c r="P52" s="70">
        <f>'SLR Raw'!R54+'SLR Raw'!AJ54</f>
        <v>0</v>
      </c>
      <c r="Q52" s="70">
        <f>'SLR Raw'!S54+'SLR Raw'!AK54</f>
        <v>0</v>
      </c>
      <c r="R52" s="70">
        <f>'SLR Raw'!T54+'SLR Raw'!AL54</f>
        <v>0</v>
      </c>
      <c r="S52" s="70">
        <f>'SLR Raw'!U54+'SLR Raw'!AM54</f>
        <v>0</v>
      </c>
      <c r="T52" s="70">
        <f>'SLR Raw'!V54+'SLR Raw'!AN54</f>
        <v>0</v>
      </c>
      <c r="U52" s="221">
        <f t="shared" si="1"/>
        <v>0</v>
      </c>
      <c r="V52" s="14">
        <v>3967</v>
      </c>
      <c r="W52" s="14">
        <v>324</v>
      </c>
      <c r="X52" s="75">
        <f>C52/'FEMA Flood Zones'!$J50</f>
        <v>0</v>
      </c>
      <c r="Y52" s="74">
        <f>D52/'FEMA Flood Zones'!$K50</f>
        <v>0</v>
      </c>
      <c r="Z52" s="74">
        <f>E52/'FEMA Flood Zones'!$J50</f>
        <v>0</v>
      </c>
      <c r="AA52" s="74">
        <f>F52/'FEMA Flood Zones'!$K50</f>
        <v>0</v>
      </c>
      <c r="AB52" s="74">
        <f>G52/'FEMA Flood Zones'!$J50</f>
        <v>0</v>
      </c>
      <c r="AC52" s="74">
        <f>H52/'FEMA Flood Zones'!$K50</f>
        <v>0</v>
      </c>
      <c r="AD52" s="74">
        <f>I52/'FEMA Flood Zones'!$J50</f>
        <v>0</v>
      </c>
      <c r="AE52" s="74">
        <f>J52/'FEMA Flood Zones'!$K50</f>
        <v>0</v>
      </c>
      <c r="AF52" s="74">
        <f>K52/'FEMA Flood Zones'!$J50</f>
        <v>0</v>
      </c>
      <c r="AG52" s="74">
        <f>L52/'FEMA Flood Zones'!$K50</f>
        <v>0</v>
      </c>
      <c r="AH52" s="74">
        <f>M52/'FEMA Flood Zones'!$J50</f>
        <v>0</v>
      </c>
      <c r="AI52" s="74">
        <f>N52/'FEMA Flood Zones'!$K50</f>
        <v>0</v>
      </c>
      <c r="AJ52" s="74">
        <f>O52/'FEMA Flood Zones'!$J50</f>
        <v>0</v>
      </c>
      <c r="AK52" s="74">
        <f>P52/'FEMA Flood Zones'!$K50</f>
        <v>0</v>
      </c>
      <c r="AL52" s="74">
        <f>Q52/'FEMA Flood Zones'!$J50</f>
        <v>0</v>
      </c>
      <c r="AM52" s="74">
        <f>R52/'FEMA Flood Zones'!$K50</f>
        <v>0</v>
      </c>
      <c r="AN52" s="74">
        <f>S52/'FEMA Flood Zones'!$J50</f>
        <v>0</v>
      </c>
      <c r="AO52" s="74">
        <f>T52/'FEMA Flood Zones'!$K50</f>
        <v>0</v>
      </c>
      <c r="AP52" s="224">
        <f t="shared" si="2"/>
        <v>0</v>
      </c>
      <c r="AQ52" s="4">
        <f t="shared" si="4"/>
        <v>60</v>
      </c>
      <c r="AR52" s="210">
        <f t="shared" si="3"/>
        <v>60</v>
      </c>
    </row>
    <row r="53" spans="1:44" x14ac:dyDescent="0.25">
      <c r="A53" s="2" t="s">
        <v>51</v>
      </c>
      <c r="B53" s="2" t="s">
        <v>60</v>
      </c>
      <c r="C53" s="70">
        <f>'SLR Raw'!C55+'SLR Raw'!W55</f>
        <v>504</v>
      </c>
      <c r="D53" s="70">
        <f>'SLR Raw'!D55+'SLR Raw'!X55</f>
        <v>92</v>
      </c>
      <c r="E53" s="70">
        <f>'SLR Raw'!E55+'SLR Raw'!Y55</f>
        <v>925</v>
      </c>
      <c r="F53" s="70">
        <f>'SLR Raw'!F55+'SLR Raw'!Z55</f>
        <v>110</v>
      </c>
      <c r="G53" s="70">
        <f>'SLR Raw'!G55+'SLR Raw'!AA55</f>
        <v>1507</v>
      </c>
      <c r="H53" s="70">
        <f>'SLR Raw'!H55+'SLR Raw'!AB55</f>
        <v>120</v>
      </c>
      <c r="I53" s="70">
        <f>'SLR Raw'!I55+'SLR Raw'!AC55</f>
        <v>1909</v>
      </c>
      <c r="J53" s="70">
        <f>'SLR Raw'!J55+'SLR Raw'!AD55</f>
        <v>150</v>
      </c>
      <c r="K53" s="70">
        <f>'SLR Raw'!M55+'SLR Raw'!AE55</f>
        <v>2211</v>
      </c>
      <c r="L53" s="70">
        <f>'SLR Raw'!N55+'SLR Raw'!AF55</f>
        <v>194</v>
      </c>
      <c r="M53" s="70">
        <f>'SLR Raw'!O55+'SLR Raw'!AG55</f>
        <v>2332</v>
      </c>
      <c r="N53" s="70">
        <f>'SLR Raw'!P55+'SLR Raw'!AH55</f>
        <v>207</v>
      </c>
      <c r="O53" s="70">
        <f>'SLR Raw'!Q55+'SLR Raw'!AI55</f>
        <v>2408</v>
      </c>
      <c r="P53" s="70">
        <f>'SLR Raw'!R55+'SLR Raw'!AJ55</f>
        <v>218</v>
      </c>
      <c r="Q53" s="70">
        <f>'SLR Raw'!S55+'SLR Raw'!AK55</f>
        <v>2532</v>
      </c>
      <c r="R53" s="70">
        <f>'SLR Raw'!T55+'SLR Raw'!AL55</f>
        <v>233</v>
      </c>
      <c r="S53" s="70">
        <f>'SLR Raw'!U55+'SLR Raw'!AM55</f>
        <v>2671</v>
      </c>
      <c r="T53" s="70">
        <f>'SLR Raw'!V55+'SLR Raw'!AN55</f>
        <v>245</v>
      </c>
      <c r="U53" s="221">
        <f t="shared" si="1"/>
        <v>2916</v>
      </c>
      <c r="V53" s="14">
        <v>13767</v>
      </c>
      <c r="W53" s="14">
        <v>1148</v>
      </c>
      <c r="X53" s="75">
        <f>C53/'FEMA Flood Zones'!$J51</f>
        <v>3.6609283068206579E-2</v>
      </c>
      <c r="Y53" s="74">
        <f>D53/'FEMA Flood Zones'!$K51</f>
        <v>8.0139372822299645E-2</v>
      </c>
      <c r="Z53" s="74">
        <f>E53/'FEMA Flood Zones'!$J51</f>
        <v>6.7189656424783903E-2</v>
      </c>
      <c r="AA53" s="74">
        <f>F53/'FEMA Flood Zones'!$K51</f>
        <v>9.5818815331010457E-2</v>
      </c>
      <c r="AB53" s="74">
        <f>G53/'FEMA Flood Zones'!$J51</f>
        <v>0.10946466187259389</v>
      </c>
      <c r="AC53" s="74">
        <f>H53/'FEMA Flood Zones'!$K51</f>
        <v>0.10452961672473868</v>
      </c>
      <c r="AD53" s="74">
        <f>I53/'FEMA Flood Zones'!$J51</f>
        <v>0.13866492336747294</v>
      </c>
      <c r="AE53" s="74">
        <f>J53/'FEMA Flood Zones'!$K51</f>
        <v>0.13066202090592335</v>
      </c>
      <c r="AF53" s="74">
        <f>K53/'FEMA Flood Zones'!$J51</f>
        <v>0.16060143822183481</v>
      </c>
      <c r="AG53" s="74">
        <f>L53/'FEMA Flood Zones'!$K51</f>
        <v>0.16898954703832753</v>
      </c>
      <c r="AH53" s="74">
        <f>M53/'FEMA Flood Zones'!$J51</f>
        <v>0.16939057165686061</v>
      </c>
      <c r="AI53" s="74">
        <f>N53/'FEMA Flood Zones'!$K51</f>
        <v>0.18031358885017421</v>
      </c>
      <c r="AJ53" s="74">
        <f>O53/'FEMA Flood Zones'!$J51</f>
        <v>0.17491101910365367</v>
      </c>
      <c r="AK53" s="74">
        <f>P53/'FEMA Flood Zones'!$K51</f>
        <v>0.18989547038327526</v>
      </c>
      <c r="AL53" s="74">
        <f>Q53/'FEMA Flood Zones'!$J51</f>
        <v>0.18391806493789498</v>
      </c>
      <c r="AM53" s="74">
        <f>R53/'FEMA Flood Zones'!$K51</f>
        <v>0.20296167247386759</v>
      </c>
      <c r="AN53" s="74">
        <f>S53/'FEMA Flood Zones'!$J51</f>
        <v>0.19401467276821385</v>
      </c>
      <c r="AO53" s="74">
        <f>T53/'FEMA Flood Zones'!$K51</f>
        <v>0.21341463414634146</v>
      </c>
      <c r="AP53" s="224">
        <f t="shared" si="2"/>
        <v>0.19550787797519276</v>
      </c>
      <c r="AQ53" s="4">
        <f t="shared" si="4"/>
        <v>10</v>
      </c>
      <c r="AR53" s="210">
        <f t="shared" si="3"/>
        <v>13</v>
      </c>
    </row>
    <row r="54" spans="1:44" x14ac:dyDescent="0.25">
      <c r="A54" s="2" t="s">
        <v>51</v>
      </c>
      <c r="B54" s="2" t="s">
        <v>61</v>
      </c>
      <c r="C54" s="70">
        <f>'SLR Raw'!C56+'SLR Raw'!W56</f>
        <v>20</v>
      </c>
      <c r="D54" s="70">
        <f>'SLR Raw'!D56+'SLR Raw'!X56</f>
        <v>2</v>
      </c>
      <c r="E54" s="70">
        <f>'SLR Raw'!E56+'SLR Raw'!Y56</f>
        <v>23</v>
      </c>
      <c r="F54" s="70">
        <f>'SLR Raw'!F56+'SLR Raw'!Z56</f>
        <v>2</v>
      </c>
      <c r="G54" s="70">
        <f>'SLR Raw'!G56+'SLR Raw'!AA56</f>
        <v>25</v>
      </c>
      <c r="H54" s="70">
        <f>'SLR Raw'!H56+'SLR Raw'!AB56</f>
        <v>2</v>
      </c>
      <c r="I54" s="70">
        <f>'SLR Raw'!I56+'SLR Raw'!AC56</f>
        <v>28</v>
      </c>
      <c r="J54" s="70">
        <f>'SLR Raw'!J56+'SLR Raw'!AD56</f>
        <v>4</v>
      </c>
      <c r="K54" s="70">
        <f>'SLR Raw'!M56+'SLR Raw'!AE56</f>
        <v>34</v>
      </c>
      <c r="L54" s="70">
        <f>'SLR Raw'!N56+'SLR Raw'!AF56</f>
        <v>12</v>
      </c>
      <c r="M54" s="70">
        <f>'SLR Raw'!O56+'SLR Raw'!AG56</f>
        <v>41</v>
      </c>
      <c r="N54" s="70">
        <f>'SLR Raw'!P56+'SLR Raw'!AH56</f>
        <v>14</v>
      </c>
      <c r="O54" s="70">
        <f>'SLR Raw'!Q56+'SLR Raw'!AI56</f>
        <v>50</v>
      </c>
      <c r="P54" s="70">
        <f>'SLR Raw'!R56+'SLR Raw'!AJ56</f>
        <v>15</v>
      </c>
      <c r="Q54" s="70">
        <f>'SLR Raw'!S56+'SLR Raw'!AK56</f>
        <v>57</v>
      </c>
      <c r="R54" s="70">
        <f>'SLR Raw'!T56+'SLR Raw'!AL56</f>
        <v>17</v>
      </c>
      <c r="S54" s="70">
        <f>'SLR Raw'!U56+'SLR Raw'!AM56</f>
        <v>63</v>
      </c>
      <c r="T54" s="70">
        <f>'SLR Raw'!V56+'SLR Raw'!AN56</f>
        <v>21</v>
      </c>
      <c r="U54" s="221">
        <f t="shared" si="1"/>
        <v>84</v>
      </c>
      <c r="V54" s="14">
        <v>2168</v>
      </c>
      <c r="W54" s="14">
        <v>644</v>
      </c>
      <c r="X54" s="75">
        <f>C54/'FEMA Flood Zones'!$J52</f>
        <v>9.2250922509225092E-3</v>
      </c>
      <c r="Y54" s="74">
        <f>D54/'FEMA Flood Zones'!$K52</f>
        <v>3.105590062111801E-3</v>
      </c>
      <c r="Z54" s="74">
        <f>E54/'FEMA Flood Zones'!$J52</f>
        <v>1.0608856088560886E-2</v>
      </c>
      <c r="AA54" s="74">
        <f>F54/'FEMA Flood Zones'!$K52</f>
        <v>3.105590062111801E-3</v>
      </c>
      <c r="AB54" s="74">
        <f>G54/'FEMA Flood Zones'!$J52</f>
        <v>1.1531365313653136E-2</v>
      </c>
      <c r="AC54" s="74">
        <f>H54/'FEMA Flood Zones'!$K52</f>
        <v>3.105590062111801E-3</v>
      </c>
      <c r="AD54" s="74">
        <f>I54/'FEMA Flood Zones'!$J52</f>
        <v>1.2915129151291513E-2</v>
      </c>
      <c r="AE54" s="74">
        <f>J54/'FEMA Flood Zones'!$K52</f>
        <v>6.2111801242236021E-3</v>
      </c>
      <c r="AF54" s="74">
        <f>K54/'FEMA Flood Zones'!$J52</f>
        <v>1.5682656826568265E-2</v>
      </c>
      <c r="AG54" s="74">
        <f>L54/'FEMA Flood Zones'!$K52</f>
        <v>1.8633540372670808E-2</v>
      </c>
      <c r="AH54" s="74">
        <f>M54/'FEMA Flood Zones'!$J52</f>
        <v>1.8911439114391145E-2</v>
      </c>
      <c r="AI54" s="74">
        <f>N54/'FEMA Flood Zones'!$K52</f>
        <v>2.1739130434782608E-2</v>
      </c>
      <c r="AJ54" s="74">
        <f>O54/'FEMA Flood Zones'!$J52</f>
        <v>2.3062730627306273E-2</v>
      </c>
      <c r="AK54" s="74">
        <f>P54/'FEMA Flood Zones'!$K52</f>
        <v>2.3291925465838508E-2</v>
      </c>
      <c r="AL54" s="74">
        <f>Q54/'FEMA Flood Zones'!$J52</f>
        <v>2.6291512915129153E-2</v>
      </c>
      <c r="AM54" s="74">
        <f>R54/'FEMA Flood Zones'!$K52</f>
        <v>2.6397515527950312E-2</v>
      </c>
      <c r="AN54" s="74">
        <f>S54/'FEMA Flood Zones'!$J52</f>
        <v>2.9059040590405903E-2</v>
      </c>
      <c r="AO54" s="74">
        <f>T54/'FEMA Flood Zones'!$K52</f>
        <v>3.2608695652173912E-2</v>
      </c>
      <c r="AP54" s="224">
        <f t="shared" si="2"/>
        <v>2.9871977240398292E-2</v>
      </c>
      <c r="AQ54" s="4">
        <f t="shared" si="4"/>
        <v>47</v>
      </c>
      <c r="AR54" s="210">
        <f t="shared" si="3"/>
        <v>31</v>
      </c>
    </row>
    <row r="55" spans="1:44" x14ac:dyDescent="0.25">
      <c r="A55" s="2" t="s">
        <v>51</v>
      </c>
      <c r="B55" s="2" t="s">
        <v>62</v>
      </c>
      <c r="C55" s="70">
        <f>'SLR Raw'!C57+'SLR Raw'!W57</f>
        <v>7</v>
      </c>
      <c r="D55" s="70">
        <f>'SLR Raw'!D57+'SLR Raw'!X57</f>
        <v>3</v>
      </c>
      <c r="E55" s="70">
        <f>'SLR Raw'!E57+'SLR Raw'!Y57</f>
        <v>7</v>
      </c>
      <c r="F55" s="70">
        <f>'SLR Raw'!F57+'SLR Raw'!Z57</f>
        <v>3</v>
      </c>
      <c r="G55" s="70">
        <f>'SLR Raw'!G57+'SLR Raw'!AA57</f>
        <v>8</v>
      </c>
      <c r="H55" s="70">
        <f>'SLR Raw'!H57+'SLR Raw'!AB57</f>
        <v>3</v>
      </c>
      <c r="I55" s="70">
        <f>'SLR Raw'!I57+'SLR Raw'!AC57</f>
        <v>11</v>
      </c>
      <c r="J55" s="70">
        <f>'SLR Raw'!J57+'SLR Raw'!AD57</f>
        <v>3</v>
      </c>
      <c r="K55" s="70">
        <f>'SLR Raw'!M57+'SLR Raw'!AE57</f>
        <v>84</v>
      </c>
      <c r="L55" s="70">
        <f>'SLR Raw'!N57+'SLR Raw'!AF57</f>
        <v>3</v>
      </c>
      <c r="M55" s="70">
        <f>'SLR Raw'!O57+'SLR Raw'!AG57</f>
        <v>161</v>
      </c>
      <c r="N55" s="70">
        <f>'SLR Raw'!P57+'SLR Raw'!AH57</f>
        <v>4</v>
      </c>
      <c r="O55" s="70">
        <f>'SLR Raw'!Q57+'SLR Raw'!AI57</f>
        <v>187</v>
      </c>
      <c r="P55" s="70">
        <f>'SLR Raw'!R57+'SLR Raw'!AJ57</f>
        <v>4</v>
      </c>
      <c r="Q55" s="70">
        <f>'SLR Raw'!S57+'SLR Raw'!AK57</f>
        <v>242</v>
      </c>
      <c r="R55" s="70">
        <f>'SLR Raw'!T57+'SLR Raw'!AL57</f>
        <v>6</v>
      </c>
      <c r="S55" s="70">
        <f>'SLR Raw'!U57+'SLR Raw'!AM57</f>
        <v>258</v>
      </c>
      <c r="T55" s="70">
        <f>'SLR Raw'!V57+'SLR Raw'!AN57</f>
        <v>6</v>
      </c>
      <c r="U55" s="221">
        <f t="shared" si="1"/>
        <v>264</v>
      </c>
      <c r="V55" s="14">
        <v>2992</v>
      </c>
      <c r="W55" s="14">
        <v>230</v>
      </c>
      <c r="X55" s="75">
        <f>C55/'FEMA Flood Zones'!$J53</f>
        <v>2.3395721925133688E-3</v>
      </c>
      <c r="Y55" s="74">
        <f>D55/'FEMA Flood Zones'!$K53</f>
        <v>1.3043478260869565E-2</v>
      </c>
      <c r="Z55" s="74">
        <f>E55/'FEMA Flood Zones'!$J53</f>
        <v>2.3395721925133688E-3</v>
      </c>
      <c r="AA55" s="74">
        <f>F55/'FEMA Flood Zones'!$K53</f>
        <v>1.3043478260869565E-2</v>
      </c>
      <c r="AB55" s="74">
        <f>G55/'FEMA Flood Zones'!$J53</f>
        <v>2.6737967914438501E-3</v>
      </c>
      <c r="AC55" s="74">
        <f>H55/'FEMA Flood Zones'!$K53</f>
        <v>1.3043478260869565E-2</v>
      </c>
      <c r="AD55" s="74">
        <f>I55/'FEMA Flood Zones'!$J53</f>
        <v>3.6764705882352941E-3</v>
      </c>
      <c r="AE55" s="74">
        <f>J55/'FEMA Flood Zones'!$K53</f>
        <v>1.3043478260869565E-2</v>
      </c>
      <c r="AF55" s="74">
        <f>K55/'FEMA Flood Zones'!$J53</f>
        <v>2.8074866310160429E-2</v>
      </c>
      <c r="AG55" s="74">
        <f>L55/'FEMA Flood Zones'!$K53</f>
        <v>1.3043478260869565E-2</v>
      </c>
      <c r="AH55" s="74">
        <f>M55/'FEMA Flood Zones'!$J53</f>
        <v>5.3810160427807487E-2</v>
      </c>
      <c r="AI55" s="74">
        <f>N55/'FEMA Flood Zones'!$K53</f>
        <v>1.7391304347826087E-2</v>
      </c>
      <c r="AJ55" s="74">
        <f>O55/'FEMA Flood Zones'!$J53</f>
        <v>6.25E-2</v>
      </c>
      <c r="AK55" s="74">
        <f>P55/'FEMA Flood Zones'!$K53</f>
        <v>1.7391304347826087E-2</v>
      </c>
      <c r="AL55" s="74">
        <f>Q55/'FEMA Flood Zones'!$J53</f>
        <v>8.0882352941176475E-2</v>
      </c>
      <c r="AM55" s="74">
        <f>R55/'FEMA Flood Zones'!$K53</f>
        <v>2.6086956521739129E-2</v>
      </c>
      <c r="AN55" s="74">
        <f>S55/'FEMA Flood Zones'!$J53</f>
        <v>8.6229946524064169E-2</v>
      </c>
      <c r="AO55" s="74">
        <f>T55/'FEMA Flood Zones'!$K53</f>
        <v>2.6086956521739129E-2</v>
      </c>
      <c r="AP55" s="224">
        <f t="shared" si="2"/>
        <v>8.1936685288640593E-2</v>
      </c>
      <c r="AQ55" s="4">
        <f t="shared" si="4"/>
        <v>37</v>
      </c>
      <c r="AR55" s="210">
        <f t="shared" si="3"/>
        <v>22</v>
      </c>
    </row>
    <row r="56" spans="1:44" x14ac:dyDescent="0.25">
      <c r="A56" s="15" t="s">
        <v>51</v>
      </c>
      <c r="B56" s="15" t="s">
        <v>63</v>
      </c>
      <c r="C56" s="69">
        <f>'SLR Raw'!C58+'SLR Raw'!W58</f>
        <v>551</v>
      </c>
      <c r="D56" s="69">
        <f>'SLR Raw'!D58+'SLR Raw'!X58</f>
        <v>13</v>
      </c>
      <c r="E56" s="69">
        <f>'SLR Raw'!E58+'SLR Raw'!Y58</f>
        <v>949</v>
      </c>
      <c r="F56" s="69">
        <f>'SLR Raw'!F58+'SLR Raw'!Z58</f>
        <v>16</v>
      </c>
      <c r="G56" s="69">
        <f>'SLR Raw'!G58+'SLR Raw'!AA58</f>
        <v>1322</v>
      </c>
      <c r="H56" s="69">
        <f>'SLR Raw'!H58+'SLR Raw'!AB58</f>
        <v>20</v>
      </c>
      <c r="I56" s="69">
        <f>'SLR Raw'!I58+'SLR Raw'!AC58</f>
        <v>1755</v>
      </c>
      <c r="J56" s="69">
        <f>'SLR Raw'!J58+'SLR Raw'!AD58</f>
        <v>27</v>
      </c>
      <c r="K56" s="69">
        <f>'SLR Raw'!M58+'SLR Raw'!AE58</f>
        <v>2329</v>
      </c>
      <c r="L56" s="69">
        <f>'SLR Raw'!N58+'SLR Raw'!AF58</f>
        <v>36</v>
      </c>
      <c r="M56" s="69">
        <f>'SLR Raw'!O58+'SLR Raw'!AG58</f>
        <v>2644</v>
      </c>
      <c r="N56" s="69">
        <f>'SLR Raw'!P58+'SLR Raw'!AH58</f>
        <v>61</v>
      </c>
      <c r="O56" s="69">
        <f>'SLR Raw'!Q58+'SLR Raw'!AI58</f>
        <v>2824</v>
      </c>
      <c r="P56" s="69">
        <f>'SLR Raw'!R58+'SLR Raw'!AJ58</f>
        <v>75</v>
      </c>
      <c r="Q56" s="69">
        <f>'SLR Raw'!S58+'SLR Raw'!AK58</f>
        <v>2992</v>
      </c>
      <c r="R56" s="69">
        <f>'SLR Raw'!T58+'SLR Raw'!AL58</f>
        <v>86</v>
      </c>
      <c r="S56" s="69">
        <f>'SLR Raw'!U58+'SLR Raw'!AM58</f>
        <v>3113</v>
      </c>
      <c r="T56" s="69">
        <f>'SLR Raw'!V58+'SLR Raw'!AN58</f>
        <v>93</v>
      </c>
      <c r="U56" s="222">
        <f t="shared" si="1"/>
        <v>3206</v>
      </c>
      <c r="V56" s="18">
        <v>21122</v>
      </c>
      <c r="W56" s="18">
        <v>991</v>
      </c>
      <c r="X56" s="76">
        <f>C56/'FEMA Flood Zones'!$J54</f>
        <v>2.6086544834769434E-2</v>
      </c>
      <c r="Y56" s="73">
        <f>D56/'FEMA Flood Zones'!$K54</f>
        <v>1.3118062563067608E-2</v>
      </c>
      <c r="Z56" s="73">
        <f>E56/'FEMA Flood Zones'!$J54</f>
        <v>4.492945743774264E-2</v>
      </c>
      <c r="AA56" s="73">
        <f>F56/'FEMA Flood Zones'!$K54</f>
        <v>1.6145307769929364E-2</v>
      </c>
      <c r="AB56" s="73">
        <f>G56/'FEMA Flood Zones'!$J54</f>
        <v>6.2588770002840646E-2</v>
      </c>
      <c r="AC56" s="73">
        <f>H56/'FEMA Flood Zones'!$K54</f>
        <v>2.0181634712411706E-2</v>
      </c>
      <c r="AD56" s="73">
        <f>I56/'FEMA Flood Zones'!$J54</f>
        <v>8.3088722658839126E-2</v>
      </c>
      <c r="AE56" s="73">
        <f>J56/'FEMA Flood Zones'!$K54</f>
        <v>2.7245206861755803E-2</v>
      </c>
      <c r="AF56" s="73">
        <f>K56/'FEMA Flood Zones'!$J54</f>
        <v>0.11026417952845374</v>
      </c>
      <c r="AG56" s="73">
        <f>L56/'FEMA Flood Zones'!$K54</f>
        <v>3.6326942482341071E-2</v>
      </c>
      <c r="AH56" s="73">
        <f>M56/'FEMA Flood Zones'!$J54</f>
        <v>0.12517754000568129</v>
      </c>
      <c r="AI56" s="73">
        <f>N56/'FEMA Flood Zones'!$K54</f>
        <v>6.1553985872855703E-2</v>
      </c>
      <c r="AJ56" s="73">
        <f>O56/'FEMA Flood Zones'!$J54</f>
        <v>0.13369946027838273</v>
      </c>
      <c r="AK56" s="73">
        <f>P56/'FEMA Flood Zones'!$K54</f>
        <v>7.5681130171543889E-2</v>
      </c>
      <c r="AL56" s="73">
        <f>Q56/'FEMA Flood Zones'!$J54</f>
        <v>0.14165325253290409</v>
      </c>
      <c r="AM56" s="73">
        <f>R56/'FEMA Flood Zones'!$K54</f>
        <v>8.6781029263370335E-2</v>
      </c>
      <c r="AN56" s="73">
        <f>S56/'FEMA Flood Zones'!$J54</f>
        <v>0.14738187671622005</v>
      </c>
      <c r="AO56" s="73">
        <f>T56/'FEMA Flood Zones'!$K54</f>
        <v>9.3844601412714432E-2</v>
      </c>
      <c r="AP56" s="225">
        <f t="shared" si="2"/>
        <v>0.14498258942703388</v>
      </c>
      <c r="AQ56" s="164">
        <f t="shared" si="4"/>
        <v>8</v>
      </c>
      <c r="AR56" s="211">
        <f t="shared" si="3"/>
        <v>16</v>
      </c>
    </row>
    <row r="57" spans="1:44" x14ac:dyDescent="0.25">
      <c r="A57" s="2" t="s">
        <v>64</v>
      </c>
      <c r="B57" s="2" t="s">
        <v>65</v>
      </c>
      <c r="C57" s="68">
        <f>'SLR Raw'!C59</f>
        <v>2</v>
      </c>
      <c r="D57" s="68">
        <f>'SLR Raw'!D59</f>
        <v>0</v>
      </c>
      <c r="E57" s="68">
        <f>'SLR Raw'!E59</f>
        <v>2</v>
      </c>
      <c r="F57" s="68">
        <f>'SLR Raw'!F59</f>
        <v>0</v>
      </c>
      <c r="G57" s="68">
        <f>'SLR Raw'!G59</f>
        <v>2</v>
      </c>
      <c r="H57" s="68">
        <f>'SLR Raw'!H59</f>
        <v>0</v>
      </c>
      <c r="I57" s="68">
        <f>'SLR Raw'!I59</f>
        <v>2</v>
      </c>
      <c r="J57" s="68">
        <f>'SLR Raw'!J59</f>
        <v>0</v>
      </c>
      <c r="K57" s="68">
        <f>'SLR Raw'!M59</f>
        <v>2</v>
      </c>
      <c r="L57" s="68">
        <f>'SLR Raw'!N59</f>
        <v>0</v>
      </c>
      <c r="M57" s="68">
        <f>'SLR Raw'!O59</f>
        <v>11</v>
      </c>
      <c r="N57" s="68">
        <f>'SLR Raw'!P59</f>
        <v>0</v>
      </c>
      <c r="O57" s="68">
        <f>'SLR Raw'!Q59</f>
        <v>28</v>
      </c>
      <c r="P57" s="68">
        <f>'SLR Raw'!R59</f>
        <v>0</v>
      </c>
      <c r="Q57" s="68">
        <f>'SLR Raw'!S59</f>
        <v>59</v>
      </c>
      <c r="R57" s="68">
        <f>'SLR Raw'!T59</f>
        <v>0</v>
      </c>
      <c r="S57" s="68">
        <f>'SLR Raw'!U59</f>
        <v>102</v>
      </c>
      <c r="T57" s="68">
        <f>'SLR Raw'!V59</f>
        <v>0</v>
      </c>
      <c r="U57" s="221">
        <f t="shared" si="1"/>
        <v>102</v>
      </c>
      <c r="V57" s="14">
        <v>4784</v>
      </c>
      <c r="W57" s="14">
        <v>25</v>
      </c>
      <c r="X57" s="75">
        <f>C57/'FEMA Flood Zones'!$J55</f>
        <v>4.1806020066889631E-4</v>
      </c>
      <c r="Y57" s="74">
        <f>D57/'FEMA Flood Zones'!$K55</f>
        <v>0</v>
      </c>
      <c r="Z57" s="74">
        <f>E57/'FEMA Flood Zones'!$J55</f>
        <v>4.1806020066889631E-4</v>
      </c>
      <c r="AA57" s="74">
        <f>F57/'FEMA Flood Zones'!$K55</f>
        <v>0</v>
      </c>
      <c r="AB57" s="74">
        <f>G57/'FEMA Flood Zones'!$J55</f>
        <v>4.1806020066889631E-4</v>
      </c>
      <c r="AC57" s="74">
        <f>H57/'FEMA Flood Zones'!$K55</f>
        <v>0</v>
      </c>
      <c r="AD57" s="74">
        <f>I57/'FEMA Flood Zones'!$J55</f>
        <v>4.1806020066889631E-4</v>
      </c>
      <c r="AE57" s="74">
        <f>J57/'FEMA Flood Zones'!$K55</f>
        <v>0</v>
      </c>
      <c r="AF57" s="74">
        <f>K57/'FEMA Flood Zones'!$J55</f>
        <v>4.1806020066889631E-4</v>
      </c>
      <c r="AG57" s="74">
        <f>L57/'FEMA Flood Zones'!$K55</f>
        <v>0</v>
      </c>
      <c r="AH57" s="74">
        <f>M57/'FEMA Flood Zones'!$J55</f>
        <v>2.29933110367893E-3</v>
      </c>
      <c r="AI57" s="74">
        <f>N57/'FEMA Flood Zones'!$K55</f>
        <v>0</v>
      </c>
      <c r="AJ57" s="74">
        <f>O57/'FEMA Flood Zones'!$J55</f>
        <v>5.8528428093645481E-3</v>
      </c>
      <c r="AK57" s="74">
        <f>P57/'FEMA Flood Zones'!$K55</f>
        <v>0</v>
      </c>
      <c r="AL57" s="74">
        <f>Q57/'FEMA Flood Zones'!$J55</f>
        <v>1.2332775919732442E-2</v>
      </c>
      <c r="AM57" s="74">
        <f>R57/'FEMA Flood Zones'!$K55</f>
        <v>0</v>
      </c>
      <c r="AN57" s="74">
        <f>S57/'FEMA Flood Zones'!$J55</f>
        <v>2.1321070234113712E-2</v>
      </c>
      <c r="AO57" s="74">
        <f>T57/'FEMA Flood Zones'!$K55</f>
        <v>0</v>
      </c>
      <c r="AP57" s="224">
        <f t="shared" si="2"/>
        <v>2.1210230817217717E-2</v>
      </c>
      <c r="AQ57" s="4">
        <f t="shared" si="4"/>
        <v>44</v>
      </c>
      <c r="AR57" s="210">
        <f t="shared" si="3"/>
        <v>32</v>
      </c>
    </row>
    <row r="58" spans="1:44" x14ac:dyDescent="0.25">
      <c r="A58" s="2" t="s">
        <v>64</v>
      </c>
      <c r="B58" s="2" t="s">
        <v>129</v>
      </c>
      <c r="C58" s="68">
        <f>'SLR Raw'!C60</f>
        <v>0</v>
      </c>
      <c r="D58" s="68">
        <f>'SLR Raw'!D60</f>
        <v>0</v>
      </c>
      <c r="E58" s="68">
        <f>'SLR Raw'!E60</f>
        <v>0</v>
      </c>
      <c r="F58" s="68">
        <f>'SLR Raw'!F60</f>
        <v>0</v>
      </c>
      <c r="G58" s="68">
        <f>'SLR Raw'!G60</f>
        <v>0</v>
      </c>
      <c r="H58" s="68">
        <f>'SLR Raw'!H60</f>
        <v>0</v>
      </c>
      <c r="I58" s="68">
        <f>'SLR Raw'!I60</f>
        <v>0</v>
      </c>
      <c r="J58" s="68">
        <f>'SLR Raw'!J60</f>
        <v>0</v>
      </c>
      <c r="K58" s="68">
        <f>'SLR Raw'!M60</f>
        <v>0</v>
      </c>
      <c r="L58" s="68">
        <f>'SLR Raw'!N60</f>
        <v>0</v>
      </c>
      <c r="M58" s="68">
        <f>'SLR Raw'!O60</f>
        <v>0</v>
      </c>
      <c r="N58" s="68">
        <f>'SLR Raw'!P60</f>
        <v>0</v>
      </c>
      <c r="O58" s="68">
        <f>'SLR Raw'!Q60</f>
        <v>0</v>
      </c>
      <c r="P58" s="68">
        <f>'SLR Raw'!R60</f>
        <v>0</v>
      </c>
      <c r="Q58" s="68">
        <f>'SLR Raw'!S60</f>
        <v>0</v>
      </c>
      <c r="R58" s="68">
        <f>'SLR Raw'!T60</f>
        <v>0</v>
      </c>
      <c r="S58" s="68">
        <f>'SLR Raw'!U60</f>
        <v>0</v>
      </c>
      <c r="T58" s="68">
        <f>'SLR Raw'!V60</f>
        <v>0</v>
      </c>
      <c r="U58" s="221">
        <f t="shared" si="1"/>
        <v>0</v>
      </c>
      <c r="V58" s="14">
        <v>1080</v>
      </c>
      <c r="W58" s="14">
        <v>180</v>
      </c>
      <c r="X58" s="75">
        <f>C58/'FEMA Flood Zones'!$J56</f>
        <v>0</v>
      </c>
      <c r="Y58" s="74">
        <f>D58/'FEMA Flood Zones'!$K56</f>
        <v>0</v>
      </c>
      <c r="Z58" s="74">
        <f>E58/'FEMA Flood Zones'!$J56</f>
        <v>0</v>
      </c>
      <c r="AA58" s="74">
        <f>F58/'FEMA Flood Zones'!$K56</f>
        <v>0</v>
      </c>
      <c r="AB58" s="74">
        <f>G58/'FEMA Flood Zones'!$J56</f>
        <v>0</v>
      </c>
      <c r="AC58" s="74">
        <f>H58/'FEMA Flood Zones'!$K56</f>
        <v>0</v>
      </c>
      <c r="AD58" s="74">
        <f>I58/'FEMA Flood Zones'!$J56</f>
        <v>0</v>
      </c>
      <c r="AE58" s="74">
        <f>J58/'FEMA Flood Zones'!$K56</f>
        <v>0</v>
      </c>
      <c r="AF58" s="74">
        <f>K58/'FEMA Flood Zones'!$J56</f>
        <v>0</v>
      </c>
      <c r="AG58" s="74">
        <f>L58/'FEMA Flood Zones'!$K56</f>
        <v>0</v>
      </c>
      <c r="AH58" s="74">
        <f>M58/'FEMA Flood Zones'!$J56</f>
        <v>0</v>
      </c>
      <c r="AI58" s="74">
        <f>N58/'FEMA Flood Zones'!$K56</f>
        <v>0</v>
      </c>
      <c r="AJ58" s="74">
        <f>O58/'FEMA Flood Zones'!$J56</f>
        <v>0</v>
      </c>
      <c r="AK58" s="74">
        <f>P58/'FEMA Flood Zones'!$K56</f>
        <v>0</v>
      </c>
      <c r="AL58" s="74">
        <f>Q58/'FEMA Flood Zones'!$J56</f>
        <v>0</v>
      </c>
      <c r="AM58" s="74">
        <f>R58/'FEMA Flood Zones'!$K56</f>
        <v>0</v>
      </c>
      <c r="AN58" s="74">
        <f>S58/'FEMA Flood Zones'!$J56</f>
        <v>0</v>
      </c>
      <c r="AO58" s="74">
        <f>T58/'FEMA Flood Zones'!$K56</f>
        <v>0</v>
      </c>
      <c r="AP58" s="224">
        <f t="shared" si="2"/>
        <v>0</v>
      </c>
      <c r="AQ58" s="4">
        <f t="shared" si="4"/>
        <v>60</v>
      </c>
      <c r="AR58" s="210">
        <f t="shared" si="3"/>
        <v>60</v>
      </c>
    </row>
    <row r="59" spans="1:44" x14ac:dyDescent="0.25">
      <c r="A59" s="2" t="s">
        <v>64</v>
      </c>
      <c r="B59" s="2" t="s">
        <v>64</v>
      </c>
      <c r="C59" s="68">
        <f>'SLR Raw'!C61</f>
        <v>7</v>
      </c>
      <c r="D59" s="68">
        <f>'SLR Raw'!D61</f>
        <v>2</v>
      </c>
      <c r="E59" s="68">
        <f>'SLR Raw'!E61</f>
        <v>10</v>
      </c>
      <c r="F59" s="68">
        <f>'SLR Raw'!F61</f>
        <v>2</v>
      </c>
      <c r="G59" s="68">
        <f>'SLR Raw'!G61</f>
        <v>12</v>
      </c>
      <c r="H59" s="68">
        <f>'SLR Raw'!H61</f>
        <v>3</v>
      </c>
      <c r="I59" s="68">
        <f>'SLR Raw'!I61</f>
        <v>13</v>
      </c>
      <c r="J59" s="68">
        <f>'SLR Raw'!J61</f>
        <v>4</v>
      </c>
      <c r="K59" s="68">
        <f>'SLR Raw'!M61</f>
        <v>14</v>
      </c>
      <c r="L59" s="68">
        <f>'SLR Raw'!N61</f>
        <v>4</v>
      </c>
      <c r="M59" s="68">
        <f>'SLR Raw'!O61</f>
        <v>22</v>
      </c>
      <c r="N59" s="68">
        <f>'SLR Raw'!P61</f>
        <v>5</v>
      </c>
      <c r="O59" s="68">
        <f>'SLR Raw'!Q61</f>
        <v>35</v>
      </c>
      <c r="P59" s="68">
        <f>'SLR Raw'!R61</f>
        <v>7</v>
      </c>
      <c r="Q59" s="68">
        <f>'SLR Raw'!S61</f>
        <v>144</v>
      </c>
      <c r="R59" s="68">
        <f>'SLR Raw'!T61</f>
        <v>48</v>
      </c>
      <c r="S59" s="68">
        <f>'SLR Raw'!U61</f>
        <v>343</v>
      </c>
      <c r="T59" s="68">
        <f>'SLR Raw'!V61</f>
        <v>218</v>
      </c>
      <c r="U59" s="221">
        <f t="shared" si="1"/>
        <v>561</v>
      </c>
      <c r="V59" s="14">
        <v>17788</v>
      </c>
      <c r="W59" s="14">
        <v>3713</v>
      </c>
      <c r="X59" s="75">
        <f>C59/'FEMA Flood Zones'!$J57</f>
        <v>3.9352372385878119E-4</v>
      </c>
      <c r="Y59" s="74">
        <f>D59/'FEMA Flood Zones'!$K57</f>
        <v>5.3864799353622406E-4</v>
      </c>
      <c r="Z59" s="74">
        <f>E59/'FEMA Flood Zones'!$J57</f>
        <v>5.6217674836968746E-4</v>
      </c>
      <c r="AA59" s="74">
        <f>F59/'FEMA Flood Zones'!$K57</f>
        <v>5.3864799353622406E-4</v>
      </c>
      <c r="AB59" s="74">
        <f>G59/'FEMA Flood Zones'!$J57</f>
        <v>6.7461209804362487E-4</v>
      </c>
      <c r="AC59" s="74">
        <f>H59/'FEMA Flood Zones'!$K57</f>
        <v>8.0797199030433614E-4</v>
      </c>
      <c r="AD59" s="74">
        <f>I59/'FEMA Flood Zones'!$J57</f>
        <v>7.3082977288059362E-4</v>
      </c>
      <c r="AE59" s="74">
        <f>J59/'FEMA Flood Zones'!$K57</f>
        <v>1.0772959870724481E-3</v>
      </c>
      <c r="AF59" s="74">
        <f>K59/'FEMA Flood Zones'!$J57</f>
        <v>7.8704744771756238E-4</v>
      </c>
      <c r="AG59" s="74">
        <f>L59/'FEMA Flood Zones'!$K57</f>
        <v>1.0772959870724481E-3</v>
      </c>
      <c r="AH59" s="74">
        <f>M59/'FEMA Flood Zones'!$J57</f>
        <v>1.2367888464133124E-3</v>
      </c>
      <c r="AI59" s="74">
        <f>N59/'FEMA Flood Zones'!$K57</f>
        <v>1.3466199838405601E-3</v>
      </c>
      <c r="AJ59" s="74">
        <f>O59/'FEMA Flood Zones'!$J57</f>
        <v>1.9676186192939061E-3</v>
      </c>
      <c r="AK59" s="74">
        <f>P59/'FEMA Flood Zones'!$K57</f>
        <v>1.8852679773767843E-3</v>
      </c>
      <c r="AL59" s="74">
        <f>Q59/'FEMA Flood Zones'!$J57</f>
        <v>8.0953451765234993E-3</v>
      </c>
      <c r="AM59" s="74">
        <f>R59/'FEMA Flood Zones'!$K57</f>
        <v>1.2927551844869378E-2</v>
      </c>
      <c r="AN59" s="74">
        <f>S59/'FEMA Flood Zones'!$J57</f>
        <v>1.9282662469080277E-2</v>
      </c>
      <c r="AO59" s="74">
        <f>T59/'FEMA Flood Zones'!$K57</f>
        <v>5.8712631295448424E-2</v>
      </c>
      <c r="AP59" s="224">
        <f t="shared" si="2"/>
        <v>2.6091809683270545E-2</v>
      </c>
      <c r="AQ59" s="4">
        <f t="shared" si="4"/>
        <v>33</v>
      </c>
      <c r="AR59" s="210">
        <f t="shared" si="3"/>
        <v>35</v>
      </c>
    </row>
    <row r="60" spans="1:44" x14ac:dyDescent="0.25">
      <c r="A60" s="2" t="s">
        <v>64</v>
      </c>
      <c r="B60" s="2" t="s">
        <v>130</v>
      </c>
      <c r="C60" s="68">
        <f>'SLR Raw'!C62</f>
        <v>0</v>
      </c>
      <c r="D60" s="68">
        <f>'SLR Raw'!D62</f>
        <v>0</v>
      </c>
      <c r="E60" s="68">
        <f>'SLR Raw'!E62</f>
        <v>0</v>
      </c>
      <c r="F60" s="68">
        <f>'SLR Raw'!F62</f>
        <v>0</v>
      </c>
      <c r="G60" s="68">
        <f>'SLR Raw'!G62</f>
        <v>0</v>
      </c>
      <c r="H60" s="68">
        <f>'SLR Raw'!H62</f>
        <v>0</v>
      </c>
      <c r="I60" s="68">
        <f>'SLR Raw'!I62</f>
        <v>0</v>
      </c>
      <c r="J60" s="68">
        <f>'SLR Raw'!J62</f>
        <v>0</v>
      </c>
      <c r="K60" s="68">
        <f>'SLR Raw'!M62</f>
        <v>0</v>
      </c>
      <c r="L60" s="68">
        <f>'SLR Raw'!N62</f>
        <v>0</v>
      </c>
      <c r="M60" s="68">
        <f>'SLR Raw'!O62</f>
        <v>0</v>
      </c>
      <c r="N60" s="68">
        <f>'SLR Raw'!P62</f>
        <v>0</v>
      </c>
      <c r="O60" s="68">
        <f>'SLR Raw'!Q62</f>
        <v>0</v>
      </c>
      <c r="P60" s="68">
        <f>'SLR Raw'!R62</f>
        <v>0</v>
      </c>
      <c r="Q60" s="68">
        <f>'SLR Raw'!S62</f>
        <v>0</v>
      </c>
      <c r="R60" s="68">
        <f>'SLR Raw'!T62</f>
        <v>0</v>
      </c>
      <c r="S60" s="68">
        <f>'SLR Raw'!U62</f>
        <v>0</v>
      </c>
      <c r="T60" s="68">
        <f>'SLR Raw'!V62</f>
        <v>0</v>
      </c>
      <c r="U60" s="221">
        <f t="shared" si="1"/>
        <v>0</v>
      </c>
      <c r="V60" s="14">
        <v>1578</v>
      </c>
      <c r="W60" s="14">
        <v>297</v>
      </c>
      <c r="X60" s="75">
        <f>C60/'FEMA Flood Zones'!$J58</f>
        <v>0</v>
      </c>
      <c r="Y60" s="74">
        <f>D60/'FEMA Flood Zones'!$K58</f>
        <v>0</v>
      </c>
      <c r="Z60" s="74">
        <f>E60/'FEMA Flood Zones'!$J58</f>
        <v>0</v>
      </c>
      <c r="AA60" s="74">
        <f>F60/'FEMA Flood Zones'!$K58</f>
        <v>0</v>
      </c>
      <c r="AB60" s="74">
        <f>G60/'FEMA Flood Zones'!$J58</f>
        <v>0</v>
      </c>
      <c r="AC60" s="74">
        <f>H60/'FEMA Flood Zones'!$K58</f>
        <v>0</v>
      </c>
      <c r="AD60" s="74">
        <f>I60/'FEMA Flood Zones'!$J58</f>
        <v>0</v>
      </c>
      <c r="AE60" s="74">
        <f>J60/'FEMA Flood Zones'!$K58</f>
        <v>0</v>
      </c>
      <c r="AF60" s="74">
        <f>K60/'FEMA Flood Zones'!$J58</f>
        <v>0</v>
      </c>
      <c r="AG60" s="74">
        <f>L60/'FEMA Flood Zones'!$K58</f>
        <v>0</v>
      </c>
      <c r="AH60" s="74">
        <f>M60/'FEMA Flood Zones'!$J58</f>
        <v>0</v>
      </c>
      <c r="AI60" s="74">
        <f>N60/'FEMA Flood Zones'!$K58</f>
        <v>0</v>
      </c>
      <c r="AJ60" s="74">
        <f>O60/'FEMA Flood Zones'!$J58</f>
        <v>0</v>
      </c>
      <c r="AK60" s="74">
        <f>P60/'FEMA Flood Zones'!$K58</f>
        <v>0</v>
      </c>
      <c r="AL60" s="74">
        <f>Q60/'FEMA Flood Zones'!$J58</f>
        <v>0</v>
      </c>
      <c r="AM60" s="74">
        <f>R60/'FEMA Flood Zones'!$K58</f>
        <v>0</v>
      </c>
      <c r="AN60" s="74">
        <f>S60/'FEMA Flood Zones'!$J58</f>
        <v>0</v>
      </c>
      <c r="AO60" s="74">
        <f>T60/'FEMA Flood Zones'!$K58</f>
        <v>0</v>
      </c>
      <c r="AP60" s="224">
        <f t="shared" si="2"/>
        <v>0</v>
      </c>
      <c r="AQ60" s="4">
        <f t="shared" si="4"/>
        <v>60</v>
      </c>
      <c r="AR60" s="210">
        <f t="shared" si="3"/>
        <v>60</v>
      </c>
    </row>
    <row r="61" spans="1:44" x14ac:dyDescent="0.25">
      <c r="A61" s="2" t="s">
        <v>64</v>
      </c>
      <c r="B61" s="2" t="s">
        <v>66</v>
      </c>
      <c r="C61" s="70">
        <f>'SLR Raw'!C63</f>
        <v>8</v>
      </c>
      <c r="D61" s="70">
        <f>'SLR Raw'!D63</f>
        <v>1</v>
      </c>
      <c r="E61" s="70">
        <f>'SLR Raw'!E63</f>
        <v>120</v>
      </c>
      <c r="F61" s="70">
        <f>'SLR Raw'!F63</f>
        <v>4</v>
      </c>
      <c r="G61" s="70">
        <f>'SLR Raw'!G63</f>
        <v>136</v>
      </c>
      <c r="H61" s="70">
        <f>'SLR Raw'!H63</f>
        <v>4</v>
      </c>
      <c r="I61" s="70">
        <f>'SLR Raw'!I63</f>
        <v>143</v>
      </c>
      <c r="J61" s="70">
        <f>'SLR Raw'!J63</f>
        <v>4</v>
      </c>
      <c r="K61" s="70">
        <f>'SLR Raw'!M63</f>
        <v>154</v>
      </c>
      <c r="L61" s="70">
        <f>'SLR Raw'!N63</f>
        <v>4</v>
      </c>
      <c r="M61" s="70">
        <f>'SLR Raw'!O63</f>
        <v>158</v>
      </c>
      <c r="N61" s="70">
        <f>'SLR Raw'!P63</f>
        <v>4</v>
      </c>
      <c r="O61" s="70">
        <f>'SLR Raw'!Q63</f>
        <v>158</v>
      </c>
      <c r="P61" s="70">
        <f>'SLR Raw'!R63</f>
        <v>4</v>
      </c>
      <c r="Q61" s="70">
        <f>'SLR Raw'!S63</f>
        <v>160</v>
      </c>
      <c r="R61" s="70">
        <f>'SLR Raw'!T63</f>
        <v>4</v>
      </c>
      <c r="S61" s="70">
        <f>'SLR Raw'!U63</f>
        <v>161</v>
      </c>
      <c r="T61" s="70">
        <f>'SLR Raw'!V63</f>
        <v>4</v>
      </c>
      <c r="U61" s="221">
        <f t="shared" si="1"/>
        <v>165</v>
      </c>
      <c r="V61" s="14">
        <v>8486</v>
      </c>
      <c r="W61" s="14">
        <v>808</v>
      </c>
      <c r="X61" s="75">
        <f>C61/'FEMA Flood Zones'!$J59</f>
        <v>9.4272920103700216E-4</v>
      </c>
      <c r="Y61" s="74">
        <f>D61/'FEMA Flood Zones'!$K59</f>
        <v>1.2376237623762376E-3</v>
      </c>
      <c r="Z61" s="74">
        <f>E61/'FEMA Flood Zones'!$J59</f>
        <v>1.4140938015555032E-2</v>
      </c>
      <c r="AA61" s="74">
        <f>F61/'FEMA Flood Zones'!$K59</f>
        <v>4.9504950495049506E-3</v>
      </c>
      <c r="AB61" s="74">
        <f>G61/'FEMA Flood Zones'!$J59</f>
        <v>1.6026396417629037E-2</v>
      </c>
      <c r="AC61" s="74">
        <f>H61/'FEMA Flood Zones'!$K59</f>
        <v>4.9504950495049506E-3</v>
      </c>
      <c r="AD61" s="74">
        <f>I61/'FEMA Flood Zones'!$J59</f>
        <v>1.6851284468536412E-2</v>
      </c>
      <c r="AE61" s="74">
        <f>J61/'FEMA Flood Zones'!$K59</f>
        <v>4.9504950495049506E-3</v>
      </c>
      <c r="AF61" s="74">
        <f>K61/'FEMA Flood Zones'!$J59</f>
        <v>1.8147537119962292E-2</v>
      </c>
      <c r="AG61" s="74">
        <f>L61/'FEMA Flood Zones'!$K59</f>
        <v>4.9504950495049506E-3</v>
      </c>
      <c r="AH61" s="74">
        <f>M61/'FEMA Flood Zones'!$J59</f>
        <v>1.8618901720480793E-2</v>
      </c>
      <c r="AI61" s="74">
        <f>N61/'FEMA Flood Zones'!$K59</f>
        <v>4.9504950495049506E-3</v>
      </c>
      <c r="AJ61" s="74">
        <f>O61/'FEMA Flood Zones'!$J59</f>
        <v>1.8618901720480793E-2</v>
      </c>
      <c r="AK61" s="74">
        <f>P61/'FEMA Flood Zones'!$K59</f>
        <v>4.9504950495049506E-3</v>
      </c>
      <c r="AL61" s="74">
        <f>Q61/'FEMA Flood Zones'!$J59</f>
        <v>1.8854584020740042E-2</v>
      </c>
      <c r="AM61" s="74">
        <f>R61/'FEMA Flood Zones'!$K59</f>
        <v>4.9504950495049506E-3</v>
      </c>
      <c r="AN61" s="74">
        <f>S61/'FEMA Flood Zones'!$J59</f>
        <v>1.8972425170869667E-2</v>
      </c>
      <c r="AO61" s="74">
        <f>T61/'FEMA Flood Zones'!$K59</f>
        <v>4.9504950495049506E-3</v>
      </c>
      <c r="AP61" s="224">
        <f t="shared" si="2"/>
        <v>1.7753389283408652E-2</v>
      </c>
      <c r="AQ61" s="4">
        <f t="shared" si="4"/>
        <v>41</v>
      </c>
      <c r="AR61" s="210">
        <f t="shared" si="3"/>
        <v>36</v>
      </c>
    </row>
    <row r="62" spans="1:44" x14ac:dyDescent="0.25">
      <c r="A62" s="15" t="s">
        <v>64</v>
      </c>
      <c r="B62" s="15" t="s">
        <v>67</v>
      </c>
      <c r="C62" s="69">
        <f>'SLR Raw'!C64</f>
        <v>0</v>
      </c>
      <c r="D62" s="69">
        <f>'SLR Raw'!D64</f>
        <v>0</v>
      </c>
      <c r="E62" s="69">
        <f>'SLR Raw'!E64</f>
        <v>0</v>
      </c>
      <c r="F62" s="69">
        <f>'SLR Raw'!F64</f>
        <v>0</v>
      </c>
      <c r="G62" s="69">
        <f>'SLR Raw'!G64</f>
        <v>0</v>
      </c>
      <c r="H62" s="69">
        <f>'SLR Raw'!H64</f>
        <v>0</v>
      </c>
      <c r="I62" s="69">
        <f>'SLR Raw'!I64</f>
        <v>0</v>
      </c>
      <c r="J62" s="69">
        <f>'SLR Raw'!J64</f>
        <v>0</v>
      </c>
      <c r="K62" s="69">
        <f>'SLR Raw'!M64</f>
        <v>0</v>
      </c>
      <c r="L62" s="69">
        <f>'SLR Raw'!N64</f>
        <v>0</v>
      </c>
      <c r="M62" s="69">
        <f>'SLR Raw'!O64</f>
        <v>0</v>
      </c>
      <c r="N62" s="69">
        <f>'SLR Raw'!P64</f>
        <v>0</v>
      </c>
      <c r="O62" s="69">
        <f>'SLR Raw'!Q64</f>
        <v>0</v>
      </c>
      <c r="P62" s="69">
        <f>'SLR Raw'!R64</f>
        <v>0</v>
      </c>
      <c r="Q62" s="69">
        <f>'SLR Raw'!S64</f>
        <v>0</v>
      </c>
      <c r="R62" s="69">
        <f>'SLR Raw'!T64</f>
        <v>0</v>
      </c>
      <c r="S62" s="69">
        <f>'SLR Raw'!U64</f>
        <v>0</v>
      </c>
      <c r="T62" s="69">
        <f>'SLR Raw'!V64</f>
        <v>0</v>
      </c>
      <c r="U62" s="222">
        <f t="shared" si="1"/>
        <v>0</v>
      </c>
      <c r="V62" s="18">
        <v>507</v>
      </c>
      <c r="W62" s="18">
        <v>244</v>
      </c>
      <c r="X62" s="76">
        <f>C62/'FEMA Flood Zones'!$J60</f>
        <v>0</v>
      </c>
      <c r="Y62" s="73">
        <f>D62/'FEMA Flood Zones'!$K60</f>
        <v>0</v>
      </c>
      <c r="Z62" s="73">
        <f>E62/'FEMA Flood Zones'!$J60</f>
        <v>0</v>
      </c>
      <c r="AA62" s="73">
        <f>F62/'FEMA Flood Zones'!$K60</f>
        <v>0</v>
      </c>
      <c r="AB62" s="73">
        <f>G62/'FEMA Flood Zones'!$J60</f>
        <v>0</v>
      </c>
      <c r="AC62" s="73">
        <f>H62/'FEMA Flood Zones'!$K60</f>
        <v>0</v>
      </c>
      <c r="AD62" s="73">
        <f>I62/'FEMA Flood Zones'!$J60</f>
        <v>0</v>
      </c>
      <c r="AE62" s="73">
        <f>J62/'FEMA Flood Zones'!$K60</f>
        <v>0</v>
      </c>
      <c r="AF62" s="73">
        <f>K62/'FEMA Flood Zones'!$J60</f>
        <v>0</v>
      </c>
      <c r="AG62" s="73">
        <f>L62/'FEMA Flood Zones'!$K60</f>
        <v>0</v>
      </c>
      <c r="AH62" s="73">
        <f>M62/'FEMA Flood Zones'!$J60</f>
        <v>0</v>
      </c>
      <c r="AI62" s="73">
        <f>N62/'FEMA Flood Zones'!$K60</f>
        <v>0</v>
      </c>
      <c r="AJ62" s="73">
        <f>O62/'FEMA Flood Zones'!$J60</f>
        <v>0</v>
      </c>
      <c r="AK62" s="73">
        <f>P62/'FEMA Flood Zones'!$K60</f>
        <v>0</v>
      </c>
      <c r="AL62" s="73">
        <f>Q62/'FEMA Flood Zones'!$J60</f>
        <v>0</v>
      </c>
      <c r="AM62" s="73">
        <f>R62/'FEMA Flood Zones'!$K60</f>
        <v>0</v>
      </c>
      <c r="AN62" s="73">
        <f>S62/'FEMA Flood Zones'!$J60</f>
        <v>0</v>
      </c>
      <c r="AO62" s="73">
        <f>T62/'FEMA Flood Zones'!$K60</f>
        <v>0</v>
      </c>
      <c r="AP62" s="225">
        <f t="shared" si="2"/>
        <v>0</v>
      </c>
      <c r="AQ62" s="164">
        <f t="shared" si="4"/>
        <v>60</v>
      </c>
      <c r="AR62" s="211">
        <f t="shared" si="3"/>
        <v>60</v>
      </c>
    </row>
    <row r="63" spans="1:44" x14ac:dyDescent="0.25">
      <c r="A63" s="19" t="s">
        <v>68</v>
      </c>
      <c r="B63" s="19" t="s">
        <v>68</v>
      </c>
      <c r="C63" s="71">
        <f>'SLR Raw'!C65+'SLR Raw'!W65</f>
        <v>0</v>
      </c>
      <c r="D63" s="71">
        <f>'SLR Raw'!D65+'SLR Raw'!X65</f>
        <v>0</v>
      </c>
      <c r="E63" s="71">
        <f>'SLR Raw'!E65+'SLR Raw'!Y65</f>
        <v>0</v>
      </c>
      <c r="F63" s="71">
        <f>'SLR Raw'!F65+'SLR Raw'!Z65</f>
        <v>0</v>
      </c>
      <c r="G63" s="71">
        <f>'SLR Raw'!G65+'SLR Raw'!AA65</f>
        <v>0</v>
      </c>
      <c r="H63" s="71">
        <f>'SLR Raw'!H65+'SLR Raw'!AB65</f>
        <v>262</v>
      </c>
      <c r="I63" s="71">
        <f>'SLR Raw'!I65+'SLR Raw'!AC65</f>
        <v>0</v>
      </c>
      <c r="J63" s="71">
        <f>'SLR Raw'!J65+'SLR Raw'!AD65</f>
        <v>277</v>
      </c>
      <c r="K63" s="71">
        <f>'SLR Raw'!M65+'SLR Raw'!AE65</f>
        <v>63</v>
      </c>
      <c r="L63" s="71">
        <f>'SLR Raw'!N65+'SLR Raw'!AF65</f>
        <v>2552</v>
      </c>
      <c r="M63" s="71">
        <f>'SLR Raw'!O65+'SLR Raw'!AG65</f>
        <v>128</v>
      </c>
      <c r="N63" s="71">
        <f>'SLR Raw'!P65+'SLR Raw'!AH65</f>
        <v>2888</v>
      </c>
      <c r="O63" s="71">
        <f>'SLR Raw'!Q65+'SLR Raw'!AI65</f>
        <v>159</v>
      </c>
      <c r="P63" s="71">
        <f>'SLR Raw'!R65+'SLR Raw'!AJ65</f>
        <v>3320</v>
      </c>
      <c r="Q63" s="71">
        <f>'SLR Raw'!S65+'SLR Raw'!AK65</f>
        <v>273</v>
      </c>
      <c r="R63" s="71">
        <f>'SLR Raw'!T65+'SLR Raw'!AL65</f>
        <v>4481</v>
      </c>
      <c r="S63" s="71">
        <f>'SLR Raw'!U65+'SLR Raw'!AM65</f>
        <v>338</v>
      </c>
      <c r="T63" s="71">
        <f>'SLR Raw'!V65+'SLR Raw'!AN65</f>
        <v>4917</v>
      </c>
      <c r="U63" s="227">
        <f t="shared" si="1"/>
        <v>5255</v>
      </c>
      <c r="V63" s="84">
        <v>97335</v>
      </c>
      <c r="W63" s="84">
        <v>86151</v>
      </c>
      <c r="X63" s="228">
        <f>C63/'FEMA Flood Zones'!$J61</f>
        <v>0</v>
      </c>
      <c r="Y63" s="229">
        <f>D63/'FEMA Flood Zones'!$K61</f>
        <v>0</v>
      </c>
      <c r="Z63" s="229">
        <f>E63/'FEMA Flood Zones'!$J61</f>
        <v>0</v>
      </c>
      <c r="AA63" s="229">
        <f>F63/'FEMA Flood Zones'!$K61</f>
        <v>0</v>
      </c>
      <c r="AB63" s="229">
        <f>G63/'FEMA Flood Zones'!$J61</f>
        <v>0</v>
      </c>
      <c r="AC63" s="229">
        <f>H63/'FEMA Flood Zones'!$K61</f>
        <v>3.0411718958572738E-3</v>
      </c>
      <c r="AD63" s="229">
        <f>I63/'FEMA Flood Zones'!$J61</f>
        <v>0</v>
      </c>
      <c r="AE63" s="229">
        <f>J63/'FEMA Flood Zones'!$K61</f>
        <v>3.2152847906582629E-3</v>
      </c>
      <c r="AF63" s="229">
        <f>K63/'FEMA Flood Zones'!$J61</f>
        <v>6.4724919093851134E-4</v>
      </c>
      <c r="AG63" s="229">
        <f>L63/'FEMA Flood Zones'!$K61</f>
        <v>2.9622407168808255E-2</v>
      </c>
      <c r="AH63" s="229">
        <f>M63/'FEMA Flood Zones'!$J61</f>
        <v>1.3150459752401501E-3</v>
      </c>
      <c r="AI63" s="229">
        <f>N63/'FEMA Flood Zones'!$K61</f>
        <v>3.3522536012350411E-2</v>
      </c>
      <c r="AJ63" s="229">
        <f>O63/'FEMA Flood Zones'!$J61</f>
        <v>1.6335336723686238E-3</v>
      </c>
      <c r="AK63" s="229">
        <f>P63/'FEMA Flood Zones'!$K61</f>
        <v>3.853698738261889E-2</v>
      </c>
      <c r="AL63" s="229">
        <f>Q63/'FEMA Flood Zones'!$J61</f>
        <v>2.8047464940668823E-3</v>
      </c>
      <c r="AM63" s="229">
        <f>R63/'FEMA Flood Zones'!$K61</f>
        <v>5.2013325440215433E-2</v>
      </c>
      <c r="AN63" s="229">
        <f>S63/'FEMA Flood Zones'!$J61</f>
        <v>3.4725432783685212E-3</v>
      </c>
      <c r="AO63" s="229">
        <f>T63/'FEMA Flood Zones'!$K61</f>
        <v>5.7074206915764182E-2</v>
      </c>
      <c r="AP63" s="230">
        <f t="shared" si="2"/>
        <v>2.8639787231723401E-2</v>
      </c>
      <c r="AQ63" s="164">
        <f t="shared" si="4"/>
        <v>35</v>
      </c>
      <c r="AR63" s="211">
        <f t="shared" si="3"/>
        <v>52</v>
      </c>
    </row>
    <row r="64" spans="1:44" x14ac:dyDescent="0.25">
      <c r="A64" s="2" t="s">
        <v>69</v>
      </c>
      <c r="B64" s="2" t="s">
        <v>70</v>
      </c>
      <c r="C64" s="67">
        <f>'SLR Raw'!C66+'SLR Raw'!W66</f>
        <v>0</v>
      </c>
      <c r="D64" s="67">
        <f>'SLR Raw'!D66+'SLR Raw'!X66</f>
        <v>0</v>
      </c>
      <c r="E64" s="67">
        <f>'SLR Raw'!E66+'SLR Raw'!Y66</f>
        <v>0</v>
      </c>
      <c r="F64" s="67">
        <f>'SLR Raw'!F66+'SLR Raw'!Z66</f>
        <v>0</v>
      </c>
      <c r="G64" s="67">
        <f>'SLR Raw'!G66+'SLR Raw'!AA66</f>
        <v>0</v>
      </c>
      <c r="H64" s="67">
        <f>'SLR Raw'!H66+'SLR Raw'!AB66</f>
        <v>0</v>
      </c>
      <c r="I64" s="67">
        <f>'SLR Raw'!I66+'SLR Raw'!AC66</f>
        <v>0</v>
      </c>
      <c r="J64" s="67">
        <f>'SLR Raw'!J66+'SLR Raw'!AD66</f>
        <v>0</v>
      </c>
      <c r="K64" s="67">
        <f>'SLR Raw'!M66+'SLR Raw'!AE66</f>
        <v>0</v>
      </c>
      <c r="L64" s="67">
        <f>'SLR Raw'!N66+'SLR Raw'!AF66</f>
        <v>0</v>
      </c>
      <c r="M64" s="67">
        <f>'SLR Raw'!O66+'SLR Raw'!AG66</f>
        <v>0</v>
      </c>
      <c r="N64" s="67">
        <f>'SLR Raw'!P66+'SLR Raw'!AH66</f>
        <v>0</v>
      </c>
      <c r="O64" s="67">
        <f>'SLR Raw'!Q66+'SLR Raw'!AI66</f>
        <v>0</v>
      </c>
      <c r="P64" s="67">
        <f>'SLR Raw'!R66+'SLR Raw'!AJ66</f>
        <v>0</v>
      </c>
      <c r="Q64" s="70">
        <f>'SLR Raw'!S66+'SLR Raw'!AK66</f>
        <v>0</v>
      </c>
      <c r="R64" s="70">
        <f>'SLR Raw'!T66+'SLR Raw'!AL66</f>
        <v>0</v>
      </c>
      <c r="S64" s="70">
        <f>'SLR Raw'!U66+'SLR Raw'!AM66</f>
        <v>0</v>
      </c>
      <c r="T64" s="70">
        <f>'SLR Raw'!V66+'SLR Raw'!AN66</f>
        <v>0</v>
      </c>
      <c r="U64" s="221">
        <f t="shared" si="1"/>
        <v>0</v>
      </c>
      <c r="V64" s="14">
        <v>2458</v>
      </c>
      <c r="W64" s="14">
        <v>1</v>
      </c>
      <c r="X64" s="75">
        <f>C64/'FEMA Flood Zones'!$J62</f>
        <v>0</v>
      </c>
      <c r="Y64" s="74">
        <f>D64/'FEMA Flood Zones'!$K62</f>
        <v>0</v>
      </c>
      <c r="Z64" s="74">
        <f>E64/'FEMA Flood Zones'!$J62</f>
        <v>0</v>
      </c>
      <c r="AA64" s="74">
        <f>F64/'FEMA Flood Zones'!$K62</f>
        <v>0</v>
      </c>
      <c r="AB64" s="74">
        <f>G64/'FEMA Flood Zones'!$J62</f>
        <v>0</v>
      </c>
      <c r="AC64" s="74">
        <f>H64/'FEMA Flood Zones'!$K62</f>
        <v>0</v>
      </c>
      <c r="AD64" s="74">
        <f>I64/'FEMA Flood Zones'!$J62</f>
        <v>0</v>
      </c>
      <c r="AE64" s="74">
        <f>J64/'FEMA Flood Zones'!$K62</f>
        <v>0</v>
      </c>
      <c r="AF64" s="74">
        <f>K64/'FEMA Flood Zones'!$J62</f>
        <v>0</v>
      </c>
      <c r="AG64" s="74">
        <f>L64/'FEMA Flood Zones'!$K62</f>
        <v>0</v>
      </c>
      <c r="AH64" s="74">
        <f>M64/'FEMA Flood Zones'!$J62</f>
        <v>0</v>
      </c>
      <c r="AI64" s="74">
        <f>N64/'FEMA Flood Zones'!$K62</f>
        <v>0</v>
      </c>
      <c r="AJ64" s="74">
        <f>O64/'FEMA Flood Zones'!$J62</f>
        <v>0</v>
      </c>
      <c r="AK64" s="74">
        <f>P64/'FEMA Flood Zones'!$K62</f>
        <v>0</v>
      </c>
      <c r="AL64" s="74">
        <f>Q64/'FEMA Flood Zones'!$J62</f>
        <v>0</v>
      </c>
      <c r="AM64" s="74">
        <f>R64/'FEMA Flood Zones'!$K62</f>
        <v>0</v>
      </c>
      <c r="AN64" s="74">
        <f>S64/'FEMA Flood Zones'!$J62</f>
        <v>0</v>
      </c>
      <c r="AO64" s="74">
        <f>T64/'FEMA Flood Zones'!$K62</f>
        <v>0</v>
      </c>
      <c r="AP64" s="224">
        <f t="shared" si="2"/>
        <v>0</v>
      </c>
      <c r="AQ64" s="4">
        <f t="shared" si="4"/>
        <v>60</v>
      </c>
      <c r="AR64" s="210">
        <f t="shared" si="3"/>
        <v>60</v>
      </c>
    </row>
    <row r="65" spans="1:44" x14ac:dyDescent="0.25">
      <c r="A65" s="2" t="s">
        <v>69</v>
      </c>
      <c r="B65" s="2" t="s">
        <v>71</v>
      </c>
      <c r="C65" s="70">
        <f>'SLR Raw'!C67+'SLR Raw'!W67</f>
        <v>0</v>
      </c>
      <c r="D65" s="70">
        <f>'SLR Raw'!D67+'SLR Raw'!X67</f>
        <v>0</v>
      </c>
      <c r="E65" s="70">
        <f>'SLR Raw'!E67+'SLR Raw'!Y67</f>
        <v>0</v>
      </c>
      <c r="F65" s="70">
        <f>'SLR Raw'!F67+'SLR Raw'!Z67</f>
        <v>0</v>
      </c>
      <c r="G65" s="70">
        <f>'SLR Raw'!G67+'SLR Raw'!AA67</f>
        <v>91</v>
      </c>
      <c r="H65" s="70">
        <f>'SLR Raw'!H67+'SLR Raw'!AB67</f>
        <v>0</v>
      </c>
      <c r="I65" s="70">
        <f>'SLR Raw'!I67+'SLR Raw'!AC67</f>
        <v>122</v>
      </c>
      <c r="J65" s="70">
        <f>'SLR Raw'!J67+'SLR Raw'!AD67</f>
        <v>0</v>
      </c>
      <c r="K65" s="70">
        <f>'SLR Raw'!M67+'SLR Raw'!AE67</f>
        <v>459</v>
      </c>
      <c r="L65" s="70">
        <f>'SLR Raw'!N67+'SLR Raw'!AF67</f>
        <v>28</v>
      </c>
      <c r="M65" s="70">
        <f>'SLR Raw'!O67+'SLR Raw'!AG67</f>
        <v>577</v>
      </c>
      <c r="N65" s="70">
        <f>'SLR Raw'!P67+'SLR Raw'!AH67</f>
        <v>35</v>
      </c>
      <c r="O65" s="70">
        <f>'SLR Raw'!Q67+'SLR Raw'!AI67</f>
        <v>606</v>
      </c>
      <c r="P65" s="70">
        <f>'SLR Raw'!R67+'SLR Raw'!AJ67</f>
        <v>45</v>
      </c>
      <c r="Q65" s="70">
        <f>'SLR Raw'!S67+'SLR Raw'!AK67</f>
        <v>640</v>
      </c>
      <c r="R65" s="70">
        <f>'SLR Raw'!T67+'SLR Raw'!AL67</f>
        <v>49</v>
      </c>
      <c r="S65" s="70">
        <f>'SLR Raw'!U67+'SLR Raw'!AM67</f>
        <v>657</v>
      </c>
      <c r="T65" s="70">
        <f>'SLR Raw'!V67+'SLR Raw'!AN67</f>
        <v>57</v>
      </c>
      <c r="U65" s="221">
        <f t="shared" si="1"/>
        <v>714</v>
      </c>
      <c r="V65" s="14">
        <v>6650</v>
      </c>
      <c r="W65" s="14">
        <v>761</v>
      </c>
      <c r="X65" s="75">
        <f>C65/'FEMA Flood Zones'!$J63</f>
        <v>0</v>
      </c>
      <c r="Y65" s="74">
        <f>D65/'FEMA Flood Zones'!$K63</f>
        <v>0</v>
      </c>
      <c r="Z65" s="74">
        <f>E65/'FEMA Flood Zones'!$J63</f>
        <v>0</v>
      </c>
      <c r="AA65" s="74">
        <f>F65/'FEMA Flood Zones'!$K63</f>
        <v>0</v>
      </c>
      <c r="AB65" s="74">
        <f>G65/'FEMA Flood Zones'!$J63</f>
        <v>1.368421052631579E-2</v>
      </c>
      <c r="AC65" s="74">
        <f>H65/'FEMA Flood Zones'!$K63</f>
        <v>0</v>
      </c>
      <c r="AD65" s="74">
        <f>I65/'FEMA Flood Zones'!$J63</f>
        <v>1.8345864661654134E-2</v>
      </c>
      <c r="AE65" s="74">
        <f>J65/'FEMA Flood Zones'!$K63</f>
        <v>0</v>
      </c>
      <c r="AF65" s="74">
        <f>K65/'FEMA Flood Zones'!$J63</f>
        <v>6.9022556390977444E-2</v>
      </c>
      <c r="AG65" s="74">
        <f>L65/'FEMA Flood Zones'!$K63</f>
        <v>3.6793692509855452E-2</v>
      </c>
      <c r="AH65" s="74">
        <f>M65/'FEMA Flood Zones'!$J63</f>
        <v>8.676691729323309E-2</v>
      </c>
      <c r="AI65" s="74">
        <f>N65/'FEMA Flood Zones'!$K63</f>
        <v>4.5992115637319315E-2</v>
      </c>
      <c r="AJ65" s="74">
        <f>O65/'FEMA Flood Zones'!$J63</f>
        <v>9.1127819548872183E-2</v>
      </c>
      <c r="AK65" s="74">
        <f>P65/'FEMA Flood Zones'!$K63</f>
        <v>5.9132720105124839E-2</v>
      </c>
      <c r="AL65" s="74">
        <f>Q65/'FEMA Flood Zones'!$J63</f>
        <v>9.6240601503759404E-2</v>
      </c>
      <c r="AM65" s="74">
        <f>R65/'FEMA Flood Zones'!$K63</f>
        <v>6.4388961892247049E-2</v>
      </c>
      <c r="AN65" s="74">
        <f>S65/'FEMA Flood Zones'!$J63</f>
        <v>9.8796992481203008E-2</v>
      </c>
      <c r="AO65" s="74">
        <f>T65/'FEMA Flood Zones'!$K63</f>
        <v>7.4901445466491454E-2</v>
      </c>
      <c r="AP65" s="224">
        <f t="shared" si="2"/>
        <v>9.6343273512346506E-2</v>
      </c>
      <c r="AQ65" s="4">
        <f t="shared" si="4"/>
        <v>27</v>
      </c>
      <c r="AR65" s="210">
        <f t="shared" si="3"/>
        <v>20</v>
      </c>
    </row>
    <row r="66" spans="1:44" x14ac:dyDescent="0.25">
      <c r="A66" s="2" t="s">
        <v>69</v>
      </c>
      <c r="B66" s="2" t="s">
        <v>72</v>
      </c>
      <c r="C66" s="70">
        <f>'SLR Raw'!C68+'SLR Raw'!W68</f>
        <v>0</v>
      </c>
      <c r="D66" s="70">
        <f>'SLR Raw'!D68+'SLR Raw'!X68</f>
        <v>0</v>
      </c>
      <c r="E66" s="70">
        <f>'SLR Raw'!E68+'SLR Raw'!Y68</f>
        <v>0</v>
      </c>
      <c r="F66" s="70">
        <f>'SLR Raw'!F68+'SLR Raw'!Z68</f>
        <v>0</v>
      </c>
      <c r="G66" s="70">
        <f>'SLR Raw'!G68+'SLR Raw'!AA68</f>
        <v>0</v>
      </c>
      <c r="H66" s="70">
        <f>'SLR Raw'!H68+'SLR Raw'!AB68</f>
        <v>0</v>
      </c>
      <c r="I66" s="70">
        <f>'SLR Raw'!I68+'SLR Raw'!AC68</f>
        <v>0</v>
      </c>
      <c r="J66" s="70">
        <f>'SLR Raw'!J68+'SLR Raw'!AD68</f>
        <v>0</v>
      </c>
      <c r="K66" s="70">
        <f>'SLR Raw'!M68+'SLR Raw'!AE68</f>
        <v>0</v>
      </c>
      <c r="L66" s="70">
        <f>'SLR Raw'!N68+'SLR Raw'!AF68</f>
        <v>0</v>
      </c>
      <c r="M66" s="70">
        <f>'SLR Raw'!O68+'SLR Raw'!AG68</f>
        <v>0</v>
      </c>
      <c r="N66" s="70">
        <f>'SLR Raw'!P68+'SLR Raw'!AH68</f>
        <v>0</v>
      </c>
      <c r="O66" s="70">
        <f>'SLR Raw'!Q68+'SLR Raw'!AI68</f>
        <v>0</v>
      </c>
      <c r="P66" s="70">
        <f>'SLR Raw'!R68+'SLR Raw'!AJ68</f>
        <v>0</v>
      </c>
      <c r="Q66" s="70">
        <f>'SLR Raw'!S68+'SLR Raw'!AK68</f>
        <v>1</v>
      </c>
      <c r="R66" s="70">
        <f>'SLR Raw'!T68+'SLR Raw'!AL68</f>
        <v>0</v>
      </c>
      <c r="S66" s="70">
        <f>'SLR Raw'!U68+'SLR Raw'!AM68</f>
        <v>1</v>
      </c>
      <c r="T66" s="70">
        <f>'SLR Raw'!V68+'SLR Raw'!AN68</f>
        <v>0</v>
      </c>
      <c r="U66" s="221">
        <f t="shared" si="1"/>
        <v>1</v>
      </c>
      <c r="V66" s="14">
        <v>1059</v>
      </c>
      <c r="W66" s="14">
        <v>553</v>
      </c>
      <c r="X66" s="75">
        <f>C66/'FEMA Flood Zones'!$J64</f>
        <v>0</v>
      </c>
      <c r="Y66" s="74">
        <f>D66/'FEMA Flood Zones'!$K64</f>
        <v>0</v>
      </c>
      <c r="Z66" s="74">
        <f>E66/'FEMA Flood Zones'!$J64</f>
        <v>0</v>
      </c>
      <c r="AA66" s="74">
        <f>F66/'FEMA Flood Zones'!$K64</f>
        <v>0</v>
      </c>
      <c r="AB66" s="74">
        <f>G66/'FEMA Flood Zones'!$J64</f>
        <v>0</v>
      </c>
      <c r="AC66" s="74">
        <f>H66/'FEMA Flood Zones'!$K64</f>
        <v>0</v>
      </c>
      <c r="AD66" s="74">
        <f>I66/'FEMA Flood Zones'!$J64</f>
        <v>0</v>
      </c>
      <c r="AE66" s="74">
        <f>J66/'FEMA Flood Zones'!$K64</f>
        <v>0</v>
      </c>
      <c r="AF66" s="74">
        <f>K66/'FEMA Flood Zones'!$J64</f>
        <v>0</v>
      </c>
      <c r="AG66" s="74">
        <f>L66/'FEMA Flood Zones'!$K64</f>
        <v>0</v>
      </c>
      <c r="AH66" s="74">
        <f>M66/'FEMA Flood Zones'!$J64</f>
        <v>0</v>
      </c>
      <c r="AI66" s="74">
        <f>N66/'FEMA Flood Zones'!$K64</f>
        <v>0</v>
      </c>
      <c r="AJ66" s="74">
        <f>O66/'FEMA Flood Zones'!$J64</f>
        <v>0</v>
      </c>
      <c r="AK66" s="74">
        <f>P66/'FEMA Flood Zones'!$K64</f>
        <v>0</v>
      </c>
      <c r="AL66" s="74">
        <f>Q66/'FEMA Flood Zones'!$J64</f>
        <v>9.4428706326723328E-4</v>
      </c>
      <c r="AM66" s="74">
        <f>R66/'FEMA Flood Zones'!$K64</f>
        <v>0</v>
      </c>
      <c r="AN66" s="74">
        <f>S66/'FEMA Flood Zones'!$J64</f>
        <v>9.4428706326723328E-4</v>
      </c>
      <c r="AO66" s="74">
        <f>T66/'FEMA Flood Zones'!$K64</f>
        <v>0</v>
      </c>
      <c r="AP66" s="224">
        <f t="shared" si="2"/>
        <v>6.2034739454094293E-4</v>
      </c>
      <c r="AQ66" s="4">
        <f t="shared" si="4"/>
        <v>56</v>
      </c>
      <c r="AR66" s="210">
        <f t="shared" si="3"/>
        <v>56</v>
      </c>
    </row>
    <row r="67" spans="1:44" x14ac:dyDescent="0.25">
      <c r="A67" s="2" t="s">
        <v>69</v>
      </c>
      <c r="B67" s="2" t="s">
        <v>132</v>
      </c>
      <c r="C67" s="70">
        <f>'SLR Raw'!C69+'SLR Raw'!W69</f>
        <v>0</v>
      </c>
      <c r="D67" s="70">
        <f>'SLR Raw'!D69+'SLR Raw'!X69</f>
        <v>0</v>
      </c>
      <c r="E67" s="70">
        <f>'SLR Raw'!E69+'SLR Raw'!Y69</f>
        <v>0</v>
      </c>
      <c r="F67" s="70">
        <f>'SLR Raw'!F69+'SLR Raw'!Z69</f>
        <v>0</v>
      </c>
      <c r="G67" s="70">
        <f>'SLR Raw'!G69+'SLR Raw'!AA69</f>
        <v>10</v>
      </c>
      <c r="H67" s="70">
        <f>'SLR Raw'!H69+'SLR Raw'!AB69</f>
        <v>3</v>
      </c>
      <c r="I67" s="70">
        <f>'SLR Raw'!I69+'SLR Raw'!AC69</f>
        <v>18</v>
      </c>
      <c r="J67" s="70">
        <f>'SLR Raw'!J69+'SLR Raw'!AD69</f>
        <v>6</v>
      </c>
      <c r="K67" s="70">
        <f>'SLR Raw'!M69+'SLR Raw'!AE69</f>
        <v>113</v>
      </c>
      <c r="L67" s="70">
        <f>'SLR Raw'!N69+'SLR Raw'!AF69</f>
        <v>30</v>
      </c>
      <c r="M67" s="70">
        <f>'SLR Raw'!O69+'SLR Raw'!AG69</f>
        <v>210</v>
      </c>
      <c r="N67" s="70">
        <f>'SLR Raw'!P69+'SLR Raw'!AH69</f>
        <v>73</v>
      </c>
      <c r="O67" s="70">
        <f>'SLR Raw'!Q69+'SLR Raw'!AI69</f>
        <v>310</v>
      </c>
      <c r="P67" s="70">
        <f>'SLR Raw'!R69+'SLR Raw'!AJ69</f>
        <v>87</v>
      </c>
      <c r="Q67" s="70">
        <f>'SLR Raw'!S69+'SLR Raw'!AK69</f>
        <v>586</v>
      </c>
      <c r="R67" s="70">
        <f>'SLR Raw'!T69+'SLR Raw'!AL69</f>
        <v>133</v>
      </c>
      <c r="S67" s="70">
        <f>'SLR Raw'!U69+'SLR Raw'!AM69</f>
        <v>730</v>
      </c>
      <c r="T67" s="70">
        <f>'SLR Raw'!V69+'SLR Raw'!AN69</f>
        <v>149</v>
      </c>
      <c r="U67" s="221">
        <f t="shared" si="1"/>
        <v>879</v>
      </c>
      <c r="V67" s="14">
        <v>5904</v>
      </c>
      <c r="W67" s="14">
        <v>1860</v>
      </c>
      <c r="X67" s="75">
        <f>C67/'FEMA Flood Zones'!$J65</f>
        <v>0</v>
      </c>
      <c r="Y67" s="74">
        <f>D67/'FEMA Flood Zones'!$K65</f>
        <v>0</v>
      </c>
      <c r="Z67" s="74">
        <f>E67/'FEMA Flood Zones'!$J65</f>
        <v>0</v>
      </c>
      <c r="AA67" s="74">
        <f>F67/'FEMA Flood Zones'!$K65</f>
        <v>0</v>
      </c>
      <c r="AB67" s="74">
        <f>G67/'FEMA Flood Zones'!$J65</f>
        <v>1.6937669376693768E-3</v>
      </c>
      <c r="AC67" s="74">
        <f>H67/'FEMA Flood Zones'!$K65</f>
        <v>1.6129032258064516E-3</v>
      </c>
      <c r="AD67" s="74">
        <f>I67/'FEMA Flood Zones'!$J65</f>
        <v>3.0487804878048782E-3</v>
      </c>
      <c r="AE67" s="74">
        <f>J67/'FEMA Flood Zones'!$K65</f>
        <v>3.2258064516129032E-3</v>
      </c>
      <c r="AF67" s="74">
        <f>K67/'FEMA Flood Zones'!$J65</f>
        <v>1.9139566395663957E-2</v>
      </c>
      <c r="AG67" s="74">
        <f>L67/'FEMA Flood Zones'!$K65</f>
        <v>1.6129032258064516E-2</v>
      </c>
      <c r="AH67" s="74">
        <f>M67/'FEMA Flood Zones'!$J65</f>
        <v>3.556910569105691E-2</v>
      </c>
      <c r="AI67" s="74">
        <f>N67/'FEMA Flood Zones'!$K65</f>
        <v>3.9247311827956988E-2</v>
      </c>
      <c r="AJ67" s="74">
        <f>O67/'FEMA Flood Zones'!$J65</f>
        <v>5.2506775067750679E-2</v>
      </c>
      <c r="AK67" s="74">
        <f>P67/'FEMA Flood Zones'!$K65</f>
        <v>4.6774193548387098E-2</v>
      </c>
      <c r="AL67" s="74">
        <f>Q67/'FEMA Flood Zones'!$J65</f>
        <v>9.9254742547425473E-2</v>
      </c>
      <c r="AM67" s="74">
        <f>R67/'FEMA Flood Zones'!$K65</f>
        <v>7.1505376344086019E-2</v>
      </c>
      <c r="AN67" s="74">
        <f>S67/'FEMA Flood Zones'!$J65</f>
        <v>0.12364498644986451</v>
      </c>
      <c r="AO67" s="74">
        <f>T67/'FEMA Flood Zones'!$K65</f>
        <v>8.0107526881720431E-2</v>
      </c>
      <c r="AP67" s="224">
        <f t="shared" si="2"/>
        <v>0.11321483771251932</v>
      </c>
      <c r="AQ67" s="4">
        <f t="shared" si="4"/>
        <v>22</v>
      </c>
      <c r="AR67" s="210">
        <f t="shared" si="3"/>
        <v>18</v>
      </c>
    </row>
    <row r="68" spans="1:44" x14ac:dyDescent="0.25">
      <c r="A68" s="2" t="s">
        <v>69</v>
      </c>
      <c r="B68" s="2" t="s">
        <v>73</v>
      </c>
      <c r="C68" s="70">
        <f>'SLR Raw'!C70+'SLR Raw'!W70</f>
        <v>0</v>
      </c>
      <c r="D68" s="70">
        <f>'SLR Raw'!D70+'SLR Raw'!X70</f>
        <v>0</v>
      </c>
      <c r="E68" s="70">
        <f>'SLR Raw'!E70+'SLR Raw'!Y70</f>
        <v>0</v>
      </c>
      <c r="F68" s="70">
        <f>'SLR Raw'!F70+'SLR Raw'!Z70</f>
        <v>0</v>
      </c>
      <c r="G68" s="70">
        <f>'SLR Raw'!G70+'SLR Raw'!AA70</f>
        <v>0</v>
      </c>
      <c r="H68" s="70">
        <f>'SLR Raw'!H70+'SLR Raw'!AB70</f>
        <v>0</v>
      </c>
      <c r="I68" s="70">
        <f>'SLR Raw'!I70+'SLR Raw'!AC70</f>
        <v>0</v>
      </c>
      <c r="J68" s="70">
        <f>'SLR Raw'!J70+'SLR Raw'!AD70</f>
        <v>0</v>
      </c>
      <c r="K68" s="70">
        <f>'SLR Raw'!M70+'SLR Raw'!AE70</f>
        <v>0</v>
      </c>
      <c r="L68" s="70">
        <f>'SLR Raw'!N70+'SLR Raw'!AF70</f>
        <v>0</v>
      </c>
      <c r="M68" s="70">
        <f>'SLR Raw'!O70+'SLR Raw'!AG70</f>
        <v>0</v>
      </c>
      <c r="N68" s="70">
        <f>'SLR Raw'!P70+'SLR Raw'!AH70</f>
        <v>0</v>
      </c>
      <c r="O68" s="70">
        <f>'SLR Raw'!Q70+'SLR Raw'!AI70</f>
        <v>0</v>
      </c>
      <c r="P68" s="70">
        <f>'SLR Raw'!R70+'SLR Raw'!AJ70</f>
        <v>0</v>
      </c>
      <c r="Q68" s="70">
        <f>'SLR Raw'!S70+'SLR Raw'!AK70</f>
        <v>0</v>
      </c>
      <c r="R68" s="70">
        <f>'SLR Raw'!T70+'SLR Raw'!AL70</f>
        <v>0</v>
      </c>
      <c r="S68" s="70">
        <f>'SLR Raw'!U70+'SLR Raw'!AM70</f>
        <v>0</v>
      </c>
      <c r="T68" s="70">
        <f>'SLR Raw'!V70+'SLR Raw'!AN70</f>
        <v>0</v>
      </c>
      <c r="U68" s="221">
        <f t="shared" si="1"/>
        <v>0</v>
      </c>
      <c r="V68" s="14">
        <v>210</v>
      </c>
      <c r="W68" s="14">
        <v>117</v>
      </c>
      <c r="X68" s="75">
        <f>C68/'FEMA Flood Zones'!$J66</f>
        <v>0</v>
      </c>
      <c r="Y68" s="74">
        <f>D68/'FEMA Flood Zones'!$K66</f>
        <v>0</v>
      </c>
      <c r="Z68" s="74">
        <f>E68/'FEMA Flood Zones'!$J66</f>
        <v>0</v>
      </c>
      <c r="AA68" s="74">
        <f>F68/'FEMA Flood Zones'!$K66</f>
        <v>0</v>
      </c>
      <c r="AB68" s="74">
        <f>G68/'FEMA Flood Zones'!$J66</f>
        <v>0</v>
      </c>
      <c r="AC68" s="74">
        <f>H68/'FEMA Flood Zones'!$K66</f>
        <v>0</v>
      </c>
      <c r="AD68" s="74">
        <f>I68/'FEMA Flood Zones'!$J66</f>
        <v>0</v>
      </c>
      <c r="AE68" s="74">
        <f>J68/'FEMA Flood Zones'!$K66</f>
        <v>0</v>
      </c>
      <c r="AF68" s="74">
        <f>K68/'FEMA Flood Zones'!$J66</f>
        <v>0</v>
      </c>
      <c r="AG68" s="74">
        <f>L68/'FEMA Flood Zones'!$K66</f>
        <v>0</v>
      </c>
      <c r="AH68" s="74">
        <f>M68/'FEMA Flood Zones'!$J66</f>
        <v>0</v>
      </c>
      <c r="AI68" s="74">
        <f>N68/'FEMA Flood Zones'!$K66</f>
        <v>0</v>
      </c>
      <c r="AJ68" s="74">
        <f>O68/'FEMA Flood Zones'!$J66</f>
        <v>0</v>
      </c>
      <c r="AK68" s="74">
        <f>P68/'FEMA Flood Zones'!$K66</f>
        <v>0</v>
      </c>
      <c r="AL68" s="74">
        <f>Q68/'FEMA Flood Zones'!$J66</f>
        <v>0</v>
      </c>
      <c r="AM68" s="74">
        <f>R68/'FEMA Flood Zones'!$K66</f>
        <v>0</v>
      </c>
      <c r="AN68" s="74">
        <f>S68/'FEMA Flood Zones'!$J66</f>
        <v>0</v>
      </c>
      <c r="AO68" s="74">
        <f>T68/'FEMA Flood Zones'!$K66</f>
        <v>0</v>
      </c>
      <c r="AP68" s="224">
        <f t="shared" si="2"/>
        <v>0</v>
      </c>
      <c r="AQ68" s="4">
        <f t="shared" si="4"/>
        <v>60</v>
      </c>
      <c r="AR68" s="210">
        <f t="shared" si="3"/>
        <v>60</v>
      </c>
    </row>
    <row r="69" spans="1:44" x14ac:dyDescent="0.25">
      <c r="A69" s="2" t="s">
        <v>69</v>
      </c>
      <c r="B69" s="2" t="s">
        <v>74</v>
      </c>
      <c r="C69" s="70">
        <f>'SLR Raw'!C71+'SLR Raw'!W71</f>
        <v>0</v>
      </c>
      <c r="D69" s="70">
        <f>'SLR Raw'!D71+'SLR Raw'!X71</f>
        <v>0</v>
      </c>
      <c r="E69" s="70">
        <f>'SLR Raw'!E71+'SLR Raw'!Y71</f>
        <v>0</v>
      </c>
      <c r="F69" s="70">
        <f>'SLR Raw'!F71+'SLR Raw'!Z71</f>
        <v>0</v>
      </c>
      <c r="G69" s="70">
        <f>'SLR Raw'!G71+'SLR Raw'!AA71</f>
        <v>0</v>
      </c>
      <c r="H69" s="70">
        <f>'SLR Raw'!H71+'SLR Raw'!AB71</f>
        <v>0</v>
      </c>
      <c r="I69" s="70">
        <f>'SLR Raw'!I71+'SLR Raw'!AC71</f>
        <v>0</v>
      </c>
      <c r="J69" s="70">
        <f>'SLR Raw'!J71+'SLR Raw'!AD71</f>
        <v>0</v>
      </c>
      <c r="K69" s="70">
        <f>'SLR Raw'!M71+'SLR Raw'!AE71</f>
        <v>0</v>
      </c>
      <c r="L69" s="70">
        <f>'SLR Raw'!N71+'SLR Raw'!AF71</f>
        <v>0</v>
      </c>
      <c r="M69" s="70">
        <f>'SLR Raw'!O71+'SLR Raw'!AG71</f>
        <v>0</v>
      </c>
      <c r="N69" s="70">
        <f>'SLR Raw'!P71+'SLR Raw'!AH71</f>
        <v>0</v>
      </c>
      <c r="O69" s="70">
        <f>'SLR Raw'!Q71+'SLR Raw'!AI71</f>
        <v>0</v>
      </c>
      <c r="P69" s="70">
        <f>'SLR Raw'!R71+'SLR Raw'!AJ71</f>
        <v>0</v>
      </c>
      <c r="Q69" s="70">
        <f>'SLR Raw'!S71+'SLR Raw'!AK71</f>
        <v>0</v>
      </c>
      <c r="R69" s="70">
        <f>'SLR Raw'!T71+'SLR Raw'!AL71</f>
        <v>0</v>
      </c>
      <c r="S69" s="70">
        <f>'SLR Raw'!U71+'SLR Raw'!AM71</f>
        <v>0</v>
      </c>
      <c r="T69" s="70">
        <f>'SLR Raw'!V71+'SLR Raw'!AN71</f>
        <v>0</v>
      </c>
      <c r="U69" s="221">
        <f t="shared" si="1"/>
        <v>0</v>
      </c>
      <c r="V69" s="14">
        <v>18870</v>
      </c>
      <c r="W69" s="14">
        <v>4214</v>
      </c>
      <c r="X69" s="75">
        <f>C69/'FEMA Flood Zones'!$J67</f>
        <v>0</v>
      </c>
      <c r="Y69" s="74">
        <f>D69/'FEMA Flood Zones'!$K67</f>
        <v>0</v>
      </c>
      <c r="Z69" s="74">
        <f>E69/'FEMA Flood Zones'!$J67</f>
        <v>0</v>
      </c>
      <c r="AA69" s="74">
        <f>F69/'FEMA Flood Zones'!$K67</f>
        <v>0</v>
      </c>
      <c r="AB69" s="74">
        <f>G69/'FEMA Flood Zones'!$J67</f>
        <v>0</v>
      </c>
      <c r="AC69" s="74">
        <f>H69/'FEMA Flood Zones'!$K67</f>
        <v>0</v>
      </c>
      <c r="AD69" s="74">
        <f>I69/'FEMA Flood Zones'!$J67</f>
        <v>0</v>
      </c>
      <c r="AE69" s="74">
        <f>J69/'FEMA Flood Zones'!$K67</f>
        <v>0</v>
      </c>
      <c r="AF69" s="74">
        <f>K69/'FEMA Flood Zones'!$J67</f>
        <v>0</v>
      </c>
      <c r="AG69" s="74">
        <f>L69/'FEMA Flood Zones'!$K67</f>
        <v>0</v>
      </c>
      <c r="AH69" s="74">
        <f>M69/'FEMA Flood Zones'!$J67</f>
        <v>0</v>
      </c>
      <c r="AI69" s="74">
        <f>N69/'FEMA Flood Zones'!$K67</f>
        <v>0</v>
      </c>
      <c r="AJ69" s="74">
        <f>O69/'FEMA Flood Zones'!$J67</f>
        <v>0</v>
      </c>
      <c r="AK69" s="74">
        <f>P69/'FEMA Flood Zones'!$K67</f>
        <v>0</v>
      </c>
      <c r="AL69" s="74">
        <f>Q69/'FEMA Flood Zones'!$J67</f>
        <v>0</v>
      </c>
      <c r="AM69" s="74">
        <f>R69/'FEMA Flood Zones'!$K67</f>
        <v>0</v>
      </c>
      <c r="AN69" s="74">
        <f>S69/'FEMA Flood Zones'!$J67</f>
        <v>0</v>
      </c>
      <c r="AO69" s="74">
        <f>T69/'FEMA Flood Zones'!$K67</f>
        <v>0</v>
      </c>
      <c r="AP69" s="224">
        <f t="shared" si="2"/>
        <v>0</v>
      </c>
      <c r="AQ69" s="4">
        <f t="shared" si="4"/>
        <v>60</v>
      </c>
      <c r="AR69" s="210">
        <f t="shared" si="3"/>
        <v>60</v>
      </c>
    </row>
    <row r="70" spans="1:44" x14ac:dyDescent="0.25">
      <c r="A70" s="2" t="s">
        <v>69</v>
      </c>
      <c r="B70" s="2" t="s">
        <v>75</v>
      </c>
      <c r="C70" s="70">
        <f>'SLR Raw'!C72+'SLR Raw'!W72</f>
        <v>0</v>
      </c>
      <c r="D70" s="70">
        <f>'SLR Raw'!D72+'SLR Raw'!X72</f>
        <v>0</v>
      </c>
      <c r="E70" s="70">
        <f>'SLR Raw'!E72+'SLR Raw'!Y72</f>
        <v>26</v>
      </c>
      <c r="F70" s="70">
        <f>'SLR Raw'!F72+'SLR Raw'!Z72</f>
        <v>1</v>
      </c>
      <c r="G70" s="70">
        <f>'SLR Raw'!G72+'SLR Raw'!AA72</f>
        <v>998</v>
      </c>
      <c r="H70" s="70">
        <f>'SLR Raw'!H72+'SLR Raw'!AB72</f>
        <v>5</v>
      </c>
      <c r="I70" s="70">
        <f>'SLR Raw'!I72+'SLR Raw'!AC72</f>
        <v>1272</v>
      </c>
      <c r="J70" s="70">
        <f>'SLR Raw'!J72+'SLR Raw'!AD72</f>
        <v>8</v>
      </c>
      <c r="K70" s="70">
        <f>'SLR Raw'!M72+'SLR Raw'!AE72</f>
        <v>1727</v>
      </c>
      <c r="L70" s="70">
        <f>'SLR Raw'!N72+'SLR Raw'!AF72</f>
        <v>19</v>
      </c>
      <c r="M70" s="70">
        <f>'SLR Raw'!O72+'SLR Raw'!AG72</f>
        <v>1980</v>
      </c>
      <c r="N70" s="70">
        <f>'SLR Raw'!P72+'SLR Raw'!AH72</f>
        <v>28</v>
      </c>
      <c r="O70" s="70">
        <f>'SLR Raw'!Q72+'SLR Raw'!AI72</f>
        <v>2217</v>
      </c>
      <c r="P70" s="70">
        <f>'SLR Raw'!R72+'SLR Raw'!AJ72</f>
        <v>33</v>
      </c>
      <c r="Q70" s="70">
        <f>'SLR Raw'!S72+'SLR Raw'!AK72</f>
        <v>2551</v>
      </c>
      <c r="R70" s="70">
        <f>'SLR Raw'!T72+'SLR Raw'!AL72</f>
        <v>41</v>
      </c>
      <c r="S70" s="70">
        <f>'SLR Raw'!U72+'SLR Raw'!AM72</f>
        <v>2747</v>
      </c>
      <c r="T70" s="70">
        <f>'SLR Raw'!V72+'SLR Raw'!AN72</f>
        <v>84</v>
      </c>
      <c r="U70" s="221">
        <f t="shared" si="1"/>
        <v>2831</v>
      </c>
      <c r="V70" s="14">
        <v>3974</v>
      </c>
      <c r="W70" s="14">
        <v>594</v>
      </c>
      <c r="X70" s="75">
        <f>C70/'FEMA Flood Zones'!$J68</f>
        <v>0</v>
      </c>
      <c r="Y70" s="74">
        <f>D70/'FEMA Flood Zones'!$K68</f>
        <v>0</v>
      </c>
      <c r="Z70" s="74">
        <f>E70/'FEMA Flood Zones'!$J68</f>
        <v>6.5425264217413188E-3</v>
      </c>
      <c r="AA70" s="74">
        <f>F70/'FEMA Flood Zones'!$K68</f>
        <v>1.6835016835016834E-3</v>
      </c>
      <c r="AB70" s="74">
        <f>G70/'FEMA Flood Zones'!$J68</f>
        <v>0.25113236034222447</v>
      </c>
      <c r="AC70" s="74">
        <f>H70/'FEMA Flood Zones'!$K68</f>
        <v>8.4175084175084174E-3</v>
      </c>
      <c r="AD70" s="74">
        <f>I70/'FEMA Flood Zones'!$J68</f>
        <v>0.32008052340211374</v>
      </c>
      <c r="AE70" s="74">
        <f>J70/'FEMA Flood Zones'!$K68</f>
        <v>1.3468013468013467E-2</v>
      </c>
      <c r="AF70" s="74">
        <f>K70/'FEMA Flood Zones'!$J68</f>
        <v>0.43457473578258682</v>
      </c>
      <c r="AG70" s="74">
        <f>L70/'FEMA Flood Zones'!$K68</f>
        <v>3.1986531986531987E-2</v>
      </c>
      <c r="AH70" s="74">
        <f>M70/'FEMA Flood Zones'!$J68</f>
        <v>0.49823855057876193</v>
      </c>
      <c r="AI70" s="74">
        <f>N70/'FEMA Flood Zones'!$K68</f>
        <v>4.7138047138047139E-2</v>
      </c>
      <c r="AJ70" s="74">
        <f>O70/'FEMA Flood Zones'!$J68</f>
        <v>0.55787619526925014</v>
      </c>
      <c r="AK70" s="74">
        <f>P70/'FEMA Flood Zones'!$K68</f>
        <v>5.5555555555555552E-2</v>
      </c>
      <c r="AL70" s="74">
        <f>Q70/'FEMA Flood Zones'!$J68</f>
        <v>0.64192249622546549</v>
      </c>
      <c r="AM70" s="74">
        <f>R70/'FEMA Flood Zones'!$K68</f>
        <v>6.9023569023569029E-2</v>
      </c>
      <c r="AN70" s="74">
        <f>S70/'FEMA Flood Zones'!$J68</f>
        <v>0.6912430800201308</v>
      </c>
      <c r="AO70" s="74">
        <f>T70/'FEMA Flood Zones'!$K68</f>
        <v>0.14141414141414141</v>
      </c>
      <c r="AP70" s="224">
        <f t="shared" si="2"/>
        <v>0.61974605954465845</v>
      </c>
      <c r="AQ70" s="4">
        <f t="shared" si="4"/>
        <v>9</v>
      </c>
      <c r="AR70" s="210">
        <f t="shared" si="3"/>
        <v>2</v>
      </c>
    </row>
    <row r="71" spans="1:44" x14ac:dyDescent="0.25">
      <c r="A71" s="2" t="s">
        <v>69</v>
      </c>
      <c r="B71" s="2" t="s">
        <v>76</v>
      </c>
      <c r="C71" s="70">
        <f>'SLR Raw'!C73+'SLR Raw'!W73</f>
        <v>0</v>
      </c>
      <c r="D71" s="70">
        <f>'SLR Raw'!D73+'SLR Raw'!X73</f>
        <v>0</v>
      </c>
      <c r="E71" s="70">
        <f>'SLR Raw'!E73+'SLR Raw'!Y73</f>
        <v>0</v>
      </c>
      <c r="F71" s="70">
        <f>'SLR Raw'!F73+'SLR Raw'!Z73</f>
        <v>0</v>
      </c>
      <c r="G71" s="70">
        <f>'SLR Raw'!G73+'SLR Raw'!AA73</f>
        <v>0</v>
      </c>
      <c r="H71" s="70">
        <f>'SLR Raw'!H73+'SLR Raw'!AB73</f>
        <v>0</v>
      </c>
      <c r="I71" s="70">
        <f>'SLR Raw'!I73+'SLR Raw'!AC73</f>
        <v>0</v>
      </c>
      <c r="J71" s="70">
        <f>'SLR Raw'!J73+'SLR Raw'!AD73</f>
        <v>0</v>
      </c>
      <c r="K71" s="70">
        <f>'SLR Raw'!M73+'SLR Raw'!AE73</f>
        <v>6732</v>
      </c>
      <c r="L71" s="70">
        <f>'SLR Raw'!N73+'SLR Raw'!AF73</f>
        <v>2094</v>
      </c>
      <c r="M71" s="70">
        <f>'SLR Raw'!O73+'SLR Raw'!AG73</f>
        <v>6732</v>
      </c>
      <c r="N71" s="70">
        <f>'SLR Raw'!P73+'SLR Raw'!AH73</f>
        <v>2094</v>
      </c>
      <c r="O71" s="70">
        <f>'SLR Raw'!Q73+'SLR Raw'!AI73</f>
        <v>6732</v>
      </c>
      <c r="P71" s="70">
        <f>'SLR Raw'!R73+'SLR Raw'!AJ73</f>
        <v>2094</v>
      </c>
      <c r="Q71" s="70">
        <f>'SLR Raw'!S73+'SLR Raw'!AK73</f>
        <v>6732</v>
      </c>
      <c r="R71" s="70">
        <f>'SLR Raw'!T73+'SLR Raw'!AL73</f>
        <v>2094</v>
      </c>
      <c r="S71" s="70">
        <f>'SLR Raw'!U73+'SLR Raw'!AM73</f>
        <v>6732</v>
      </c>
      <c r="T71" s="70">
        <f>'SLR Raw'!V73+'SLR Raw'!AN73</f>
        <v>2094</v>
      </c>
      <c r="U71" s="221">
        <f t="shared" si="1"/>
        <v>8826</v>
      </c>
      <c r="V71" s="14">
        <v>6732</v>
      </c>
      <c r="W71" s="14">
        <v>2094</v>
      </c>
      <c r="X71" s="75">
        <f>C71/'FEMA Flood Zones'!$J69</f>
        <v>0</v>
      </c>
      <c r="Y71" s="74">
        <f>D71/'FEMA Flood Zones'!$K69</f>
        <v>0</v>
      </c>
      <c r="Z71" s="74">
        <f>E71/'FEMA Flood Zones'!$J69</f>
        <v>0</v>
      </c>
      <c r="AA71" s="74">
        <f>F71/'FEMA Flood Zones'!$K69</f>
        <v>0</v>
      </c>
      <c r="AB71" s="74">
        <f>G71/'FEMA Flood Zones'!$J69</f>
        <v>0</v>
      </c>
      <c r="AC71" s="74">
        <f>H71/'FEMA Flood Zones'!$K69</f>
        <v>0</v>
      </c>
      <c r="AD71" s="74">
        <f>I71/'FEMA Flood Zones'!$J69</f>
        <v>0</v>
      </c>
      <c r="AE71" s="74">
        <f>J71/'FEMA Flood Zones'!$K69</f>
        <v>0</v>
      </c>
      <c r="AF71" s="74">
        <f>K71/'FEMA Flood Zones'!$J69</f>
        <v>1</v>
      </c>
      <c r="AG71" s="74">
        <f>L71/'FEMA Flood Zones'!$K69</f>
        <v>1</v>
      </c>
      <c r="AH71" s="74">
        <f>M71/'FEMA Flood Zones'!$J69</f>
        <v>1</v>
      </c>
      <c r="AI71" s="74">
        <f>N71/'FEMA Flood Zones'!$K69</f>
        <v>1</v>
      </c>
      <c r="AJ71" s="74">
        <f>O71/'FEMA Flood Zones'!$J69</f>
        <v>1</v>
      </c>
      <c r="AK71" s="74">
        <f>P71/'FEMA Flood Zones'!$K69</f>
        <v>1</v>
      </c>
      <c r="AL71" s="74">
        <f>Q71/'FEMA Flood Zones'!$J69</f>
        <v>1</v>
      </c>
      <c r="AM71" s="74">
        <f>R71/'FEMA Flood Zones'!$K69</f>
        <v>1</v>
      </c>
      <c r="AN71" s="74">
        <f>S71/'FEMA Flood Zones'!$J69</f>
        <v>1</v>
      </c>
      <c r="AO71" s="74">
        <f>T71/'FEMA Flood Zones'!$K69</f>
        <v>1</v>
      </c>
      <c r="AP71" s="224">
        <f t="shared" si="2"/>
        <v>1</v>
      </c>
      <c r="AQ71" s="4">
        <f t="shared" si="4"/>
        <v>4</v>
      </c>
      <c r="AR71" s="210">
        <f t="shared" si="3"/>
        <v>1</v>
      </c>
    </row>
    <row r="72" spans="1:44" x14ac:dyDescent="0.25">
      <c r="A72" s="2" t="s">
        <v>69</v>
      </c>
      <c r="B72" s="2" t="s">
        <v>133</v>
      </c>
      <c r="C72" s="70">
        <f>'SLR Raw'!C74+'SLR Raw'!W74</f>
        <v>0</v>
      </c>
      <c r="D72" s="70">
        <f>'SLR Raw'!D74+'SLR Raw'!X74</f>
        <v>0</v>
      </c>
      <c r="E72" s="70">
        <f>'SLR Raw'!E74+'SLR Raw'!Y74</f>
        <v>0</v>
      </c>
      <c r="F72" s="70">
        <f>'SLR Raw'!F74+'SLR Raw'!Z74</f>
        <v>0</v>
      </c>
      <c r="G72" s="70">
        <f>'SLR Raw'!G74+'SLR Raw'!AA74</f>
        <v>0</v>
      </c>
      <c r="H72" s="70">
        <f>'SLR Raw'!H74+'SLR Raw'!AB74</f>
        <v>0</v>
      </c>
      <c r="I72" s="70">
        <f>'SLR Raw'!I74+'SLR Raw'!AC74</f>
        <v>0</v>
      </c>
      <c r="J72" s="70">
        <f>'SLR Raw'!J74+'SLR Raw'!AD74</f>
        <v>0</v>
      </c>
      <c r="K72" s="70">
        <f>'SLR Raw'!M74+'SLR Raw'!AE74</f>
        <v>0</v>
      </c>
      <c r="L72" s="70">
        <f>'SLR Raw'!N74+'SLR Raw'!AF74</f>
        <v>0</v>
      </c>
      <c r="M72" s="70">
        <f>'SLR Raw'!O74+'SLR Raw'!AG74</f>
        <v>0</v>
      </c>
      <c r="N72" s="70">
        <f>'SLR Raw'!P74+'SLR Raw'!AH74</f>
        <v>0</v>
      </c>
      <c r="O72" s="70">
        <f>'SLR Raw'!Q74+'SLR Raw'!AI74</f>
        <v>0</v>
      </c>
      <c r="P72" s="70">
        <f>'SLR Raw'!R74+'SLR Raw'!AJ74</f>
        <v>0</v>
      </c>
      <c r="Q72" s="70">
        <f>'SLR Raw'!S74+'SLR Raw'!AK74</f>
        <v>0</v>
      </c>
      <c r="R72" s="70">
        <f>'SLR Raw'!T74+'SLR Raw'!AL74</f>
        <v>0</v>
      </c>
      <c r="S72" s="70">
        <f>'SLR Raw'!U74+'SLR Raw'!AM74</f>
        <v>0</v>
      </c>
      <c r="T72" s="70">
        <f>'SLR Raw'!V74+'SLR Raw'!AN74</f>
        <v>0</v>
      </c>
      <c r="U72" s="221">
        <f t="shared" si="1"/>
        <v>0</v>
      </c>
      <c r="V72" s="14">
        <v>3209</v>
      </c>
      <c r="W72" s="14">
        <v>594</v>
      </c>
      <c r="X72" s="75">
        <f>C72/'FEMA Flood Zones'!$J70</f>
        <v>0</v>
      </c>
      <c r="Y72" s="74">
        <f>D72/'FEMA Flood Zones'!$K70</f>
        <v>0</v>
      </c>
      <c r="Z72" s="74">
        <f>E72/'FEMA Flood Zones'!$J70</f>
        <v>0</v>
      </c>
      <c r="AA72" s="74">
        <f>F72/'FEMA Flood Zones'!$K70</f>
        <v>0</v>
      </c>
      <c r="AB72" s="74">
        <f>G72/'FEMA Flood Zones'!$J70</f>
        <v>0</v>
      </c>
      <c r="AC72" s="74">
        <f>H72/'FEMA Flood Zones'!$K70</f>
        <v>0</v>
      </c>
      <c r="AD72" s="74">
        <f>I72/'FEMA Flood Zones'!$J70</f>
        <v>0</v>
      </c>
      <c r="AE72" s="74">
        <f>J72/'FEMA Flood Zones'!$K70</f>
        <v>0</v>
      </c>
      <c r="AF72" s="74">
        <f>K72/'FEMA Flood Zones'!$J70</f>
        <v>0</v>
      </c>
      <c r="AG72" s="74">
        <f>L72/'FEMA Flood Zones'!$K70</f>
        <v>0</v>
      </c>
      <c r="AH72" s="74">
        <f>M72/'FEMA Flood Zones'!$J70</f>
        <v>0</v>
      </c>
      <c r="AI72" s="74">
        <f>N72/'FEMA Flood Zones'!$K70</f>
        <v>0</v>
      </c>
      <c r="AJ72" s="74">
        <f>O72/'FEMA Flood Zones'!$J70</f>
        <v>0</v>
      </c>
      <c r="AK72" s="74">
        <f>P72/'FEMA Flood Zones'!$K70</f>
        <v>0</v>
      </c>
      <c r="AL72" s="74">
        <f>Q72/'FEMA Flood Zones'!$J70</f>
        <v>0</v>
      </c>
      <c r="AM72" s="74">
        <f>R72/'FEMA Flood Zones'!$K70</f>
        <v>0</v>
      </c>
      <c r="AN72" s="74">
        <f>S72/'FEMA Flood Zones'!$J70</f>
        <v>0</v>
      </c>
      <c r="AO72" s="74">
        <f>T72/'FEMA Flood Zones'!$K70</f>
        <v>0</v>
      </c>
      <c r="AP72" s="224">
        <f t="shared" si="2"/>
        <v>0</v>
      </c>
      <c r="AQ72" s="4">
        <f t="shared" si="4"/>
        <v>60</v>
      </c>
      <c r="AR72" s="210">
        <f t="shared" si="3"/>
        <v>60</v>
      </c>
    </row>
    <row r="73" spans="1:44" x14ac:dyDescent="0.25">
      <c r="A73" s="2" t="s">
        <v>69</v>
      </c>
      <c r="B73" s="2" t="s">
        <v>77</v>
      </c>
      <c r="C73" s="70">
        <f>'SLR Raw'!C75+'SLR Raw'!W75</f>
        <v>0</v>
      </c>
      <c r="D73" s="70">
        <f>'SLR Raw'!D75+'SLR Raw'!X75</f>
        <v>0</v>
      </c>
      <c r="E73" s="70">
        <f>'SLR Raw'!E75+'SLR Raw'!Y75</f>
        <v>0</v>
      </c>
      <c r="F73" s="70">
        <f>'SLR Raw'!F75+'SLR Raw'!Z75</f>
        <v>0</v>
      </c>
      <c r="G73" s="70">
        <f>'SLR Raw'!G75+'SLR Raw'!AA75</f>
        <v>0</v>
      </c>
      <c r="H73" s="70">
        <f>'SLR Raw'!H75+'SLR Raw'!AB75</f>
        <v>0</v>
      </c>
      <c r="I73" s="70">
        <f>'SLR Raw'!I75+'SLR Raw'!AC75</f>
        <v>0</v>
      </c>
      <c r="J73" s="70">
        <f>'SLR Raw'!J75+'SLR Raw'!AD75</f>
        <v>0</v>
      </c>
      <c r="K73" s="70">
        <f>'SLR Raw'!M75+'SLR Raw'!AE75</f>
        <v>0</v>
      </c>
      <c r="L73" s="70">
        <f>'SLR Raw'!N75+'SLR Raw'!AF75</f>
        <v>0</v>
      </c>
      <c r="M73" s="70">
        <f>'SLR Raw'!O75+'SLR Raw'!AG75</f>
        <v>0</v>
      </c>
      <c r="N73" s="70">
        <f>'SLR Raw'!P75+'SLR Raw'!AH75</f>
        <v>0</v>
      </c>
      <c r="O73" s="70">
        <f>'SLR Raw'!Q75+'SLR Raw'!AI75</f>
        <v>0</v>
      </c>
      <c r="P73" s="70">
        <f>'SLR Raw'!R75+'SLR Raw'!AJ75</f>
        <v>0</v>
      </c>
      <c r="Q73" s="70">
        <f>'SLR Raw'!S75+'SLR Raw'!AK75</f>
        <v>0</v>
      </c>
      <c r="R73" s="70">
        <f>'SLR Raw'!T75+'SLR Raw'!AL75</f>
        <v>0</v>
      </c>
      <c r="S73" s="70">
        <f>'SLR Raw'!U75+'SLR Raw'!AM75</f>
        <v>0</v>
      </c>
      <c r="T73" s="70">
        <f>'SLR Raw'!V75+'SLR Raw'!AN75</f>
        <v>0</v>
      </c>
      <c r="U73" s="221">
        <f t="shared" si="1"/>
        <v>0</v>
      </c>
      <c r="V73" s="14">
        <v>3955</v>
      </c>
      <c r="W73" s="14">
        <v>4</v>
      </c>
      <c r="X73" s="75">
        <f>C73/'FEMA Flood Zones'!$J71</f>
        <v>0</v>
      </c>
      <c r="Y73" s="74">
        <f>D73/'FEMA Flood Zones'!$K71</f>
        <v>0</v>
      </c>
      <c r="Z73" s="74">
        <f>E73/'FEMA Flood Zones'!$J71</f>
        <v>0</v>
      </c>
      <c r="AA73" s="74">
        <f>F73/'FEMA Flood Zones'!$K71</f>
        <v>0</v>
      </c>
      <c r="AB73" s="74">
        <f>G73/'FEMA Flood Zones'!$J71</f>
        <v>0</v>
      </c>
      <c r="AC73" s="74">
        <f>H73/'FEMA Flood Zones'!$K71</f>
        <v>0</v>
      </c>
      <c r="AD73" s="74">
        <f>I73/'FEMA Flood Zones'!$J71</f>
        <v>0</v>
      </c>
      <c r="AE73" s="74">
        <f>J73/'FEMA Flood Zones'!$K71</f>
        <v>0</v>
      </c>
      <c r="AF73" s="74">
        <f>K73/'FEMA Flood Zones'!$J71</f>
        <v>0</v>
      </c>
      <c r="AG73" s="74">
        <f>L73/'FEMA Flood Zones'!$K71</f>
        <v>0</v>
      </c>
      <c r="AH73" s="74">
        <f>M73/'FEMA Flood Zones'!$J71</f>
        <v>0</v>
      </c>
      <c r="AI73" s="74">
        <f>N73/'FEMA Flood Zones'!$K71</f>
        <v>0</v>
      </c>
      <c r="AJ73" s="74">
        <f>O73/'FEMA Flood Zones'!$J71</f>
        <v>0</v>
      </c>
      <c r="AK73" s="74">
        <f>P73/'FEMA Flood Zones'!$K71</f>
        <v>0</v>
      </c>
      <c r="AL73" s="74">
        <f>Q73/'FEMA Flood Zones'!$J71</f>
        <v>0</v>
      </c>
      <c r="AM73" s="74">
        <f>R73/'FEMA Flood Zones'!$K71</f>
        <v>0</v>
      </c>
      <c r="AN73" s="74">
        <f>S73/'FEMA Flood Zones'!$J71</f>
        <v>0</v>
      </c>
      <c r="AO73" s="74">
        <f>T73/'FEMA Flood Zones'!$K71</f>
        <v>0</v>
      </c>
      <c r="AP73" s="224">
        <f t="shared" si="2"/>
        <v>0</v>
      </c>
      <c r="AQ73" s="4">
        <f t="shared" si="4"/>
        <v>60</v>
      </c>
      <c r="AR73" s="210">
        <f t="shared" si="3"/>
        <v>60</v>
      </c>
    </row>
    <row r="74" spans="1:44" x14ac:dyDescent="0.25">
      <c r="A74" s="2" t="s">
        <v>69</v>
      </c>
      <c r="B74" s="2" t="s">
        <v>78</v>
      </c>
      <c r="C74" s="70">
        <f>'SLR Raw'!C76+'SLR Raw'!W76</f>
        <v>0</v>
      </c>
      <c r="D74" s="70">
        <f>'SLR Raw'!D76+'SLR Raw'!X76</f>
        <v>0</v>
      </c>
      <c r="E74" s="70">
        <f>'SLR Raw'!E76+'SLR Raw'!Y76</f>
        <v>0</v>
      </c>
      <c r="F74" s="70">
        <f>'SLR Raw'!F76+'SLR Raw'!Z76</f>
        <v>0</v>
      </c>
      <c r="G74" s="70">
        <f>'SLR Raw'!G76+'SLR Raw'!AA76</f>
        <v>250</v>
      </c>
      <c r="H74" s="70">
        <f>'SLR Raw'!H76+'SLR Raw'!AB76</f>
        <v>7</v>
      </c>
      <c r="I74" s="70">
        <f>'SLR Raw'!I76+'SLR Raw'!AC76</f>
        <v>362</v>
      </c>
      <c r="J74" s="70">
        <f>'SLR Raw'!J76+'SLR Raw'!AD76</f>
        <v>7</v>
      </c>
      <c r="K74" s="70">
        <f>'SLR Raw'!M76+'SLR Raw'!AE76</f>
        <v>521</v>
      </c>
      <c r="L74" s="70">
        <f>'SLR Raw'!N76+'SLR Raw'!AF76</f>
        <v>8</v>
      </c>
      <c r="M74" s="70">
        <f>'SLR Raw'!O76+'SLR Raw'!AG76</f>
        <v>590</v>
      </c>
      <c r="N74" s="70">
        <f>'SLR Raw'!P76+'SLR Raw'!AH76</f>
        <v>12</v>
      </c>
      <c r="O74" s="70">
        <f>'SLR Raw'!Q76+'SLR Raw'!AI76</f>
        <v>650</v>
      </c>
      <c r="P74" s="70">
        <f>'SLR Raw'!R76+'SLR Raw'!AJ76</f>
        <v>14</v>
      </c>
      <c r="Q74" s="70">
        <f>'SLR Raw'!S76+'SLR Raw'!AK76</f>
        <v>734</v>
      </c>
      <c r="R74" s="70">
        <f>'SLR Raw'!T76+'SLR Raw'!AL76</f>
        <v>17</v>
      </c>
      <c r="S74" s="70">
        <f>'SLR Raw'!U76+'SLR Raw'!AM76</f>
        <v>805</v>
      </c>
      <c r="T74" s="70">
        <f>'SLR Raw'!V76+'SLR Raw'!AN76</f>
        <v>24</v>
      </c>
      <c r="U74" s="221">
        <f t="shared" si="1"/>
        <v>829</v>
      </c>
      <c r="V74" s="14">
        <v>7330</v>
      </c>
      <c r="W74" s="14">
        <v>1909</v>
      </c>
      <c r="X74" s="75">
        <f>C74/'FEMA Flood Zones'!$J72</f>
        <v>0</v>
      </c>
      <c r="Y74" s="74">
        <f>D74/'FEMA Flood Zones'!$K72</f>
        <v>0</v>
      </c>
      <c r="Z74" s="74">
        <f>E74/'FEMA Flood Zones'!$J72</f>
        <v>0</v>
      </c>
      <c r="AA74" s="74">
        <f>F74/'FEMA Flood Zones'!$K72</f>
        <v>0</v>
      </c>
      <c r="AB74" s="74">
        <f>G74/'FEMA Flood Zones'!$J72</f>
        <v>3.4106412005457026E-2</v>
      </c>
      <c r="AC74" s="74">
        <f>H74/'FEMA Flood Zones'!$K72</f>
        <v>3.6668412781561029E-3</v>
      </c>
      <c r="AD74" s="74">
        <f>I74/'FEMA Flood Zones'!$J72</f>
        <v>4.9386084583901771E-2</v>
      </c>
      <c r="AE74" s="74">
        <f>J74/'FEMA Flood Zones'!$K72</f>
        <v>3.6668412781561029E-3</v>
      </c>
      <c r="AF74" s="74">
        <f>K74/'FEMA Flood Zones'!$J72</f>
        <v>7.1077762619372445E-2</v>
      </c>
      <c r="AG74" s="74">
        <f>L74/'FEMA Flood Zones'!$K72</f>
        <v>4.1906757464641176E-3</v>
      </c>
      <c r="AH74" s="74">
        <f>M74/'FEMA Flood Zones'!$J72</f>
        <v>8.0491132332878579E-2</v>
      </c>
      <c r="AI74" s="74">
        <f>N74/'FEMA Flood Zones'!$K72</f>
        <v>6.2860136196961763E-3</v>
      </c>
      <c r="AJ74" s="74">
        <f>O74/'FEMA Flood Zones'!$J72</f>
        <v>8.8676671214188263E-2</v>
      </c>
      <c r="AK74" s="74">
        <f>P74/'FEMA Flood Zones'!$K72</f>
        <v>7.3336825563122057E-3</v>
      </c>
      <c r="AL74" s="74">
        <f>Q74/'FEMA Flood Zones'!$J72</f>
        <v>0.10013642564802183</v>
      </c>
      <c r="AM74" s="74">
        <f>R74/'FEMA Flood Zones'!$K72</f>
        <v>8.9051859612362498E-3</v>
      </c>
      <c r="AN74" s="74">
        <f>S74/'FEMA Flood Zones'!$J72</f>
        <v>0.10982264665757162</v>
      </c>
      <c r="AO74" s="74">
        <f>T74/'FEMA Flood Zones'!$K72</f>
        <v>1.2572027239392353E-2</v>
      </c>
      <c r="AP74" s="224">
        <f t="shared" si="2"/>
        <v>8.9728325576361082E-2</v>
      </c>
      <c r="AQ74" s="4">
        <f t="shared" ref="AQ74:AQ105" si="5">RANK(S74,$S$10:$S$118,0)</f>
        <v>21</v>
      </c>
      <c r="AR74" s="210">
        <f t="shared" si="3"/>
        <v>19</v>
      </c>
    </row>
    <row r="75" spans="1:44" x14ac:dyDescent="0.25">
      <c r="A75" s="2" t="s">
        <v>69</v>
      </c>
      <c r="B75" s="2" t="s">
        <v>79</v>
      </c>
      <c r="C75" s="70">
        <f>'SLR Raw'!C77+'SLR Raw'!W77</f>
        <v>0</v>
      </c>
      <c r="D75" s="70">
        <f>'SLR Raw'!D77+'SLR Raw'!X77</f>
        <v>0</v>
      </c>
      <c r="E75" s="70">
        <f>'SLR Raw'!E77+'SLR Raw'!Y77</f>
        <v>0</v>
      </c>
      <c r="F75" s="70">
        <f>'SLR Raw'!F77+'SLR Raw'!Z77</f>
        <v>0</v>
      </c>
      <c r="G75" s="70">
        <f>'SLR Raw'!G77+'SLR Raw'!AA77</f>
        <v>87</v>
      </c>
      <c r="H75" s="70">
        <f>'SLR Raw'!H77+'SLR Raw'!AB77</f>
        <v>2</v>
      </c>
      <c r="I75" s="70">
        <f>'SLR Raw'!I77+'SLR Raw'!AC77</f>
        <v>137</v>
      </c>
      <c r="J75" s="70">
        <f>'SLR Raw'!J77+'SLR Raw'!AD77</f>
        <v>4</v>
      </c>
      <c r="K75" s="70">
        <f>'SLR Raw'!M77+'SLR Raw'!AE77</f>
        <v>192</v>
      </c>
      <c r="L75" s="70">
        <f>'SLR Raw'!N77+'SLR Raw'!AF77</f>
        <v>9</v>
      </c>
      <c r="M75" s="70">
        <f>'SLR Raw'!O77+'SLR Raw'!AG77</f>
        <v>222</v>
      </c>
      <c r="N75" s="70">
        <f>'SLR Raw'!P77+'SLR Raw'!AH77</f>
        <v>14</v>
      </c>
      <c r="O75" s="70">
        <f>'SLR Raw'!Q77+'SLR Raw'!AI77</f>
        <v>234</v>
      </c>
      <c r="P75" s="70">
        <f>'SLR Raw'!R77+'SLR Raw'!AJ77</f>
        <v>15</v>
      </c>
      <c r="Q75" s="70">
        <f>'SLR Raw'!S77+'SLR Raw'!AK77</f>
        <v>333</v>
      </c>
      <c r="R75" s="70">
        <f>'SLR Raw'!T77+'SLR Raw'!AL77</f>
        <v>26</v>
      </c>
      <c r="S75" s="70">
        <f>'SLR Raw'!U77+'SLR Raw'!AM77</f>
        <v>350</v>
      </c>
      <c r="T75" s="70">
        <f>'SLR Raw'!V77+'SLR Raw'!AN77</f>
        <v>67</v>
      </c>
      <c r="U75" s="221">
        <f t="shared" ref="U75:U118" si="6">SUM(S75:T75)</f>
        <v>417</v>
      </c>
      <c r="V75" s="14">
        <v>5338</v>
      </c>
      <c r="W75" s="14">
        <v>1152</v>
      </c>
      <c r="X75" s="75">
        <f>C75/'FEMA Flood Zones'!$J73</f>
        <v>0</v>
      </c>
      <c r="Y75" s="74">
        <f>D75/'FEMA Flood Zones'!$K73</f>
        <v>0</v>
      </c>
      <c r="Z75" s="74">
        <f>E75/'FEMA Flood Zones'!$J73</f>
        <v>0</v>
      </c>
      <c r="AA75" s="74">
        <f>F75/'FEMA Flood Zones'!$K73</f>
        <v>0</v>
      </c>
      <c r="AB75" s="74">
        <f>G75/'FEMA Flood Zones'!$J73</f>
        <v>1.6298239040839265E-2</v>
      </c>
      <c r="AC75" s="74">
        <f>H75/'FEMA Flood Zones'!$K73</f>
        <v>1.736111111111111E-3</v>
      </c>
      <c r="AD75" s="74">
        <f>I75/'FEMA Flood Zones'!$J73</f>
        <v>2.5665043087298615E-2</v>
      </c>
      <c r="AE75" s="74">
        <f>J75/'FEMA Flood Zones'!$K73</f>
        <v>3.472222222222222E-3</v>
      </c>
      <c r="AF75" s="74">
        <f>K75/'FEMA Flood Zones'!$J73</f>
        <v>3.5968527538403898E-2</v>
      </c>
      <c r="AG75" s="74">
        <f>L75/'FEMA Flood Zones'!$K73</f>
        <v>7.8125E-3</v>
      </c>
      <c r="AH75" s="74">
        <f>M75/'FEMA Flood Zones'!$J73</f>
        <v>4.1588609966279506E-2</v>
      </c>
      <c r="AI75" s="74">
        <f>N75/'FEMA Flood Zones'!$K73</f>
        <v>1.2152777777777778E-2</v>
      </c>
      <c r="AJ75" s="74">
        <f>O75/'FEMA Flood Zones'!$J73</f>
        <v>4.3836642937429747E-2</v>
      </c>
      <c r="AK75" s="74">
        <f>P75/'FEMA Flood Zones'!$K73</f>
        <v>1.3020833333333334E-2</v>
      </c>
      <c r="AL75" s="74">
        <f>Q75/'FEMA Flood Zones'!$J73</f>
        <v>6.2382914949419256E-2</v>
      </c>
      <c r="AM75" s="74">
        <f>R75/'FEMA Flood Zones'!$K73</f>
        <v>2.2569444444444444E-2</v>
      </c>
      <c r="AN75" s="74">
        <f>S75/'FEMA Flood Zones'!$J73</f>
        <v>6.5567628325215441E-2</v>
      </c>
      <c r="AO75" s="74">
        <f>T75/'FEMA Flood Zones'!$K73</f>
        <v>5.8159722222222224E-2</v>
      </c>
      <c r="AP75" s="224">
        <f t="shared" ref="AP75:AP118" si="7">U75/(V75+W75)</f>
        <v>6.4252696456086292E-2</v>
      </c>
      <c r="AQ75" s="4">
        <f t="shared" si="5"/>
        <v>32</v>
      </c>
      <c r="AR75" s="210">
        <f t="shared" ref="AR75:AR118" si="8">RANK(AN75,$AN$10:$AN$118,0)</f>
        <v>24</v>
      </c>
    </row>
    <row r="76" spans="1:44" x14ac:dyDescent="0.25">
      <c r="A76" s="2" t="s">
        <v>69</v>
      </c>
      <c r="B76" s="2" t="s">
        <v>134</v>
      </c>
      <c r="C76" s="70">
        <f>'SLR Raw'!C78+'SLR Raw'!W78</f>
        <v>0</v>
      </c>
      <c r="D76" s="70">
        <f>'SLR Raw'!D78+'SLR Raw'!X78</f>
        <v>0</v>
      </c>
      <c r="E76" s="70">
        <f>'SLR Raw'!E78+'SLR Raw'!Y78</f>
        <v>0</v>
      </c>
      <c r="F76" s="70">
        <f>'SLR Raw'!F78+'SLR Raw'!Z78</f>
        <v>0</v>
      </c>
      <c r="G76" s="70">
        <f>'SLR Raw'!G78+'SLR Raw'!AA78</f>
        <v>0</v>
      </c>
      <c r="H76" s="70">
        <f>'SLR Raw'!H78+'SLR Raw'!AB78</f>
        <v>0</v>
      </c>
      <c r="I76" s="70">
        <f>'SLR Raw'!I78+'SLR Raw'!AC78</f>
        <v>0</v>
      </c>
      <c r="J76" s="70">
        <f>'SLR Raw'!J78+'SLR Raw'!AD78</f>
        <v>0</v>
      </c>
      <c r="K76" s="70">
        <f>'SLR Raw'!M78+'SLR Raw'!AE78</f>
        <v>0</v>
      </c>
      <c r="L76" s="70">
        <f>'SLR Raw'!N78+'SLR Raw'!AF78</f>
        <v>0</v>
      </c>
      <c r="M76" s="70">
        <f>'SLR Raw'!O78+'SLR Raw'!AG78</f>
        <v>1</v>
      </c>
      <c r="N76" s="70">
        <f>'SLR Raw'!P78+'SLR Raw'!AH78</f>
        <v>0</v>
      </c>
      <c r="O76" s="70">
        <f>'SLR Raw'!Q78+'SLR Raw'!AI78</f>
        <v>1</v>
      </c>
      <c r="P76" s="70">
        <f>'SLR Raw'!R78+'SLR Raw'!AJ78</f>
        <v>0</v>
      </c>
      <c r="Q76" s="70">
        <f>'SLR Raw'!S78+'SLR Raw'!AK78</f>
        <v>2</v>
      </c>
      <c r="R76" s="70">
        <f>'SLR Raw'!T78+'SLR Raw'!AL78</f>
        <v>0</v>
      </c>
      <c r="S76" s="70">
        <f>'SLR Raw'!U78+'SLR Raw'!AM78</f>
        <v>172</v>
      </c>
      <c r="T76" s="70">
        <f>'SLR Raw'!V78+'SLR Raw'!AN78</f>
        <v>0</v>
      </c>
      <c r="U76" s="221">
        <f t="shared" si="6"/>
        <v>172</v>
      </c>
      <c r="V76" s="14">
        <v>10889</v>
      </c>
      <c r="W76" s="14">
        <v>950</v>
      </c>
      <c r="X76" s="75">
        <f>C76/'FEMA Flood Zones'!$J74</f>
        <v>0</v>
      </c>
      <c r="Y76" s="74">
        <f>D76/'FEMA Flood Zones'!$K74</f>
        <v>0</v>
      </c>
      <c r="Z76" s="74">
        <f>E76/'FEMA Flood Zones'!$J74</f>
        <v>0</v>
      </c>
      <c r="AA76" s="74">
        <f>F76/'FEMA Flood Zones'!$K74</f>
        <v>0</v>
      </c>
      <c r="AB76" s="74">
        <f>G76/'FEMA Flood Zones'!$J74</f>
        <v>0</v>
      </c>
      <c r="AC76" s="74">
        <f>H76/'FEMA Flood Zones'!$K74</f>
        <v>0</v>
      </c>
      <c r="AD76" s="74">
        <f>I76/'FEMA Flood Zones'!$J74</f>
        <v>0</v>
      </c>
      <c r="AE76" s="74">
        <f>J76/'FEMA Flood Zones'!$K74</f>
        <v>0</v>
      </c>
      <c r="AF76" s="74">
        <f>K76/'FEMA Flood Zones'!$J74</f>
        <v>0</v>
      </c>
      <c r="AG76" s="74">
        <f>L76/'FEMA Flood Zones'!$K74</f>
        <v>0</v>
      </c>
      <c r="AH76" s="74">
        <f>M76/'FEMA Flood Zones'!$J74</f>
        <v>9.1835797593902102E-5</v>
      </c>
      <c r="AI76" s="74">
        <f>N76/'FEMA Flood Zones'!$K74</f>
        <v>0</v>
      </c>
      <c r="AJ76" s="74">
        <f>O76/'FEMA Flood Zones'!$J74</f>
        <v>9.1835797593902102E-5</v>
      </c>
      <c r="AK76" s="74">
        <f>P76/'FEMA Flood Zones'!$K74</f>
        <v>0</v>
      </c>
      <c r="AL76" s="74">
        <f>Q76/'FEMA Flood Zones'!$J74</f>
        <v>1.836715951878042E-4</v>
      </c>
      <c r="AM76" s="74">
        <f>R76/'FEMA Flood Zones'!$K74</f>
        <v>0</v>
      </c>
      <c r="AN76" s="74">
        <f>S76/'FEMA Flood Zones'!$J74</f>
        <v>1.5795757186151161E-2</v>
      </c>
      <c r="AO76" s="74">
        <f>T76/'FEMA Flood Zones'!$K74</f>
        <v>0</v>
      </c>
      <c r="AP76" s="224">
        <f t="shared" si="7"/>
        <v>1.4528254075513135E-2</v>
      </c>
      <c r="AQ76" s="4">
        <f t="shared" si="5"/>
        <v>40</v>
      </c>
      <c r="AR76" s="210">
        <f t="shared" si="8"/>
        <v>38</v>
      </c>
    </row>
    <row r="77" spans="1:44" x14ac:dyDescent="0.25">
      <c r="A77" s="2" t="s">
        <v>69</v>
      </c>
      <c r="B77" s="2" t="s">
        <v>80</v>
      </c>
      <c r="C77" s="70">
        <f>'SLR Raw'!C79+'SLR Raw'!W79</f>
        <v>0</v>
      </c>
      <c r="D77" s="70">
        <f>'SLR Raw'!D79+'SLR Raw'!X79</f>
        <v>0</v>
      </c>
      <c r="E77" s="70">
        <f>'SLR Raw'!E79+'SLR Raw'!Y79</f>
        <v>0</v>
      </c>
      <c r="F77" s="70">
        <f>'SLR Raw'!F79+'SLR Raw'!Z79</f>
        <v>0</v>
      </c>
      <c r="G77" s="70">
        <f>'SLR Raw'!G79+'SLR Raw'!AA79</f>
        <v>0</v>
      </c>
      <c r="H77" s="70">
        <f>'SLR Raw'!H79+'SLR Raw'!AB79</f>
        <v>0</v>
      </c>
      <c r="I77" s="70">
        <f>'SLR Raw'!I79+'SLR Raw'!AC79</f>
        <v>0</v>
      </c>
      <c r="J77" s="70">
        <f>'SLR Raw'!J79+'SLR Raw'!AD79</f>
        <v>0</v>
      </c>
      <c r="K77" s="70">
        <f>'SLR Raw'!M79+'SLR Raw'!AE79</f>
        <v>0</v>
      </c>
      <c r="L77" s="70">
        <f>'SLR Raw'!N79+'SLR Raw'!AF79</f>
        <v>0</v>
      </c>
      <c r="M77" s="70">
        <f>'SLR Raw'!O79+'SLR Raw'!AG79</f>
        <v>0</v>
      </c>
      <c r="N77" s="70">
        <f>'SLR Raw'!P79+'SLR Raw'!AH79</f>
        <v>0</v>
      </c>
      <c r="O77" s="70">
        <f>'SLR Raw'!Q79+'SLR Raw'!AI79</f>
        <v>0</v>
      </c>
      <c r="P77" s="70">
        <f>'SLR Raw'!R79+'SLR Raw'!AJ79</f>
        <v>0</v>
      </c>
      <c r="Q77" s="70">
        <f>'SLR Raw'!S79+'SLR Raw'!AK79</f>
        <v>0</v>
      </c>
      <c r="R77" s="70">
        <f>'SLR Raw'!T79+'SLR Raw'!AL79</f>
        <v>0</v>
      </c>
      <c r="S77" s="70">
        <f>'SLR Raw'!U79+'SLR Raw'!AM79</f>
        <v>0</v>
      </c>
      <c r="T77" s="70">
        <f>'SLR Raw'!V79+'SLR Raw'!AN79</f>
        <v>0</v>
      </c>
      <c r="U77" s="221">
        <f t="shared" si="6"/>
        <v>0</v>
      </c>
      <c r="V77" s="14">
        <v>1515</v>
      </c>
      <c r="W77" s="14">
        <v>3</v>
      </c>
      <c r="X77" s="75">
        <f>C77/'FEMA Flood Zones'!$J75</f>
        <v>0</v>
      </c>
      <c r="Y77" s="74">
        <f>D77/'FEMA Flood Zones'!$K75</f>
        <v>0</v>
      </c>
      <c r="Z77" s="74">
        <f>E77/'FEMA Flood Zones'!$J75</f>
        <v>0</v>
      </c>
      <c r="AA77" s="74">
        <f>F77/'FEMA Flood Zones'!$K75</f>
        <v>0</v>
      </c>
      <c r="AB77" s="74">
        <f>G77/'FEMA Flood Zones'!$J75</f>
        <v>0</v>
      </c>
      <c r="AC77" s="74">
        <f>H77/'FEMA Flood Zones'!$K75</f>
        <v>0</v>
      </c>
      <c r="AD77" s="74">
        <f>I77/'FEMA Flood Zones'!$J75</f>
        <v>0</v>
      </c>
      <c r="AE77" s="74">
        <f>J77/'FEMA Flood Zones'!$K75</f>
        <v>0</v>
      </c>
      <c r="AF77" s="74">
        <f>K77/'FEMA Flood Zones'!$J75</f>
        <v>0</v>
      </c>
      <c r="AG77" s="74">
        <f>L77/'FEMA Flood Zones'!$K75</f>
        <v>0</v>
      </c>
      <c r="AH77" s="74">
        <f>M77/'FEMA Flood Zones'!$J75</f>
        <v>0</v>
      </c>
      <c r="AI77" s="74">
        <f>N77/'FEMA Flood Zones'!$K75</f>
        <v>0</v>
      </c>
      <c r="AJ77" s="74">
        <f>O77/'FEMA Flood Zones'!$J75</f>
        <v>0</v>
      </c>
      <c r="AK77" s="74">
        <f>P77/'FEMA Flood Zones'!$K75</f>
        <v>0</v>
      </c>
      <c r="AL77" s="74">
        <f>Q77/'FEMA Flood Zones'!$J75</f>
        <v>0</v>
      </c>
      <c r="AM77" s="74">
        <f>R77/'FEMA Flood Zones'!$K75</f>
        <v>0</v>
      </c>
      <c r="AN77" s="74">
        <f>S77/'FEMA Flood Zones'!$J75</f>
        <v>0</v>
      </c>
      <c r="AO77" s="74">
        <f>T77/'FEMA Flood Zones'!$K75</f>
        <v>0</v>
      </c>
      <c r="AP77" s="224">
        <f t="shared" si="7"/>
        <v>0</v>
      </c>
      <c r="AQ77" s="4">
        <f t="shared" si="5"/>
        <v>60</v>
      </c>
      <c r="AR77" s="210">
        <f t="shared" si="8"/>
        <v>60</v>
      </c>
    </row>
    <row r="78" spans="1:44" x14ac:dyDescent="0.25">
      <c r="A78" s="2" t="s">
        <v>69</v>
      </c>
      <c r="B78" s="2" t="s">
        <v>81</v>
      </c>
      <c r="C78" s="70">
        <f>'SLR Raw'!C80+'SLR Raw'!W80</f>
        <v>1</v>
      </c>
      <c r="D78" s="70">
        <f>'SLR Raw'!D80+'SLR Raw'!X80</f>
        <v>0</v>
      </c>
      <c r="E78" s="70">
        <f>'SLR Raw'!E80+'SLR Raw'!Y80</f>
        <v>137</v>
      </c>
      <c r="F78" s="70">
        <f>'SLR Raw'!F80+'SLR Raw'!Z80</f>
        <v>5</v>
      </c>
      <c r="G78" s="70">
        <f>'SLR Raw'!G80+'SLR Raw'!AA80</f>
        <v>226</v>
      </c>
      <c r="H78" s="70">
        <f>'SLR Raw'!H80+'SLR Raw'!AB80</f>
        <v>19</v>
      </c>
      <c r="I78" s="70">
        <f>'SLR Raw'!I80+'SLR Raw'!AC80</f>
        <v>2861</v>
      </c>
      <c r="J78" s="70">
        <f>'SLR Raw'!J80+'SLR Raw'!AD80</f>
        <v>2245</v>
      </c>
      <c r="K78" s="70">
        <f>'SLR Raw'!M80+'SLR Raw'!AE80</f>
        <v>3086</v>
      </c>
      <c r="L78" s="70">
        <f>'SLR Raw'!N80+'SLR Raw'!AF80</f>
        <v>2568</v>
      </c>
      <c r="M78" s="70">
        <f>'SLR Raw'!O80+'SLR Raw'!AG80</f>
        <v>3214</v>
      </c>
      <c r="N78" s="70">
        <f>'SLR Raw'!P80+'SLR Raw'!AH80</f>
        <v>2699</v>
      </c>
      <c r="O78" s="70">
        <f>'SLR Raw'!Q80+'SLR Raw'!AI80</f>
        <v>3286</v>
      </c>
      <c r="P78" s="70">
        <f>'SLR Raw'!R80+'SLR Raw'!AJ80</f>
        <v>2735</v>
      </c>
      <c r="Q78" s="70">
        <f>'SLR Raw'!S80+'SLR Raw'!AK80</f>
        <v>3428</v>
      </c>
      <c r="R78" s="70">
        <f>'SLR Raw'!T80+'SLR Raw'!AL80</f>
        <v>2822</v>
      </c>
      <c r="S78" s="70">
        <f>'SLR Raw'!U80+'SLR Raw'!AM80</f>
        <v>3586</v>
      </c>
      <c r="T78" s="70">
        <f>'SLR Raw'!V80+'SLR Raw'!AN80</f>
        <v>2961</v>
      </c>
      <c r="U78" s="221">
        <f t="shared" si="6"/>
        <v>6547</v>
      </c>
      <c r="V78" s="14">
        <v>13393</v>
      </c>
      <c r="W78" s="14">
        <v>5643</v>
      </c>
      <c r="X78" s="75">
        <f>C78/'FEMA Flood Zones'!$J76</f>
        <v>7.4665870230717542E-5</v>
      </c>
      <c r="Y78" s="74">
        <f>D78/'FEMA Flood Zones'!$K76</f>
        <v>0</v>
      </c>
      <c r="Z78" s="74">
        <f>E78/'FEMA Flood Zones'!$J76</f>
        <v>1.0229224221608303E-2</v>
      </c>
      <c r="AA78" s="74">
        <f>F78/'FEMA Flood Zones'!$K76</f>
        <v>8.8605351763246503E-4</v>
      </c>
      <c r="AB78" s="74">
        <f>G78/'FEMA Flood Zones'!$J76</f>
        <v>1.6874486672142162E-2</v>
      </c>
      <c r="AC78" s="74">
        <f>H78/'FEMA Flood Zones'!$K76</f>
        <v>3.3670033670033669E-3</v>
      </c>
      <c r="AD78" s="74">
        <f>I78/'FEMA Flood Zones'!$J76</f>
        <v>0.21361905473008289</v>
      </c>
      <c r="AE78" s="74">
        <f>J78/'FEMA Flood Zones'!$K76</f>
        <v>0.39783802941697677</v>
      </c>
      <c r="AF78" s="74">
        <f>K78/'FEMA Flood Zones'!$J76</f>
        <v>0.23041887553199433</v>
      </c>
      <c r="AG78" s="74">
        <f>L78/'FEMA Flood Zones'!$K76</f>
        <v>0.45507708665603402</v>
      </c>
      <c r="AH78" s="74">
        <f>M78/'FEMA Flood Zones'!$J76</f>
        <v>0.23997610692152618</v>
      </c>
      <c r="AI78" s="74">
        <f>N78/'FEMA Flood Zones'!$K76</f>
        <v>0.4782916888180046</v>
      </c>
      <c r="AJ78" s="74">
        <f>O78/'FEMA Flood Zones'!$J76</f>
        <v>0.24535204957813783</v>
      </c>
      <c r="AK78" s="74">
        <f>P78/'FEMA Flood Zones'!$K76</f>
        <v>0.48467127414495836</v>
      </c>
      <c r="AL78" s="74">
        <f>Q78/'FEMA Flood Zones'!$J76</f>
        <v>0.25595460315089974</v>
      </c>
      <c r="AM78" s="74">
        <f>R78/'FEMA Flood Zones'!$K76</f>
        <v>0.50008860535176325</v>
      </c>
      <c r="AN78" s="74">
        <f>S78/'FEMA Flood Zones'!$J76</f>
        <v>0.26775181064735309</v>
      </c>
      <c r="AO78" s="74">
        <f>T78/'FEMA Flood Zones'!$K76</f>
        <v>0.52472089314194581</v>
      </c>
      <c r="AP78" s="224">
        <f t="shared" si="7"/>
        <v>0.34392729565034669</v>
      </c>
      <c r="AQ78" s="4">
        <f t="shared" si="5"/>
        <v>6</v>
      </c>
      <c r="AR78" s="210">
        <f t="shared" si="8"/>
        <v>9</v>
      </c>
    </row>
    <row r="79" spans="1:44" x14ac:dyDescent="0.25">
      <c r="A79" s="2" t="s">
        <v>69</v>
      </c>
      <c r="B79" s="2" t="s">
        <v>82</v>
      </c>
      <c r="C79" s="70">
        <f>'SLR Raw'!C81+'SLR Raw'!W81</f>
        <v>0</v>
      </c>
      <c r="D79" s="70">
        <f>'SLR Raw'!D81+'SLR Raw'!X81</f>
        <v>0</v>
      </c>
      <c r="E79" s="70">
        <f>'SLR Raw'!E81+'SLR Raw'!Y81</f>
        <v>0</v>
      </c>
      <c r="F79" s="70">
        <f>'SLR Raw'!F81+'SLR Raw'!Z81</f>
        <v>0</v>
      </c>
      <c r="G79" s="70">
        <f>'SLR Raw'!G81+'SLR Raw'!AA81</f>
        <v>0</v>
      </c>
      <c r="H79" s="70">
        <f>'SLR Raw'!H81+'SLR Raw'!AB81</f>
        <v>0</v>
      </c>
      <c r="I79" s="70">
        <f>'SLR Raw'!I81+'SLR Raw'!AC81</f>
        <v>283</v>
      </c>
      <c r="J79" s="70">
        <f>'SLR Raw'!J81+'SLR Raw'!AD81</f>
        <v>37</v>
      </c>
      <c r="K79" s="70">
        <f>'SLR Raw'!M81+'SLR Raw'!AE81</f>
        <v>375</v>
      </c>
      <c r="L79" s="70">
        <f>'SLR Raw'!N81+'SLR Raw'!AF81</f>
        <v>49</v>
      </c>
      <c r="M79" s="70">
        <f>'SLR Raw'!O81+'SLR Raw'!AG81</f>
        <v>416</v>
      </c>
      <c r="N79" s="70">
        <f>'SLR Raw'!P81+'SLR Raw'!AH81</f>
        <v>51</v>
      </c>
      <c r="O79" s="70">
        <f>'SLR Raw'!Q81+'SLR Raw'!AI81</f>
        <v>445</v>
      </c>
      <c r="P79" s="70">
        <f>'SLR Raw'!R81+'SLR Raw'!AJ81</f>
        <v>55</v>
      </c>
      <c r="Q79" s="70">
        <f>'SLR Raw'!S81+'SLR Raw'!AK81</f>
        <v>498</v>
      </c>
      <c r="R79" s="70">
        <f>'SLR Raw'!T81+'SLR Raw'!AL81</f>
        <v>78</v>
      </c>
      <c r="S79" s="70">
        <f>'SLR Raw'!U81+'SLR Raw'!AM81</f>
        <v>537</v>
      </c>
      <c r="T79" s="70">
        <f>'SLR Raw'!V81+'SLR Raw'!AN81</f>
        <v>87</v>
      </c>
      <c r="U79" s="221">
        <f t="shared" si="6"/>
        <v>624</v>
      </c>
      <c r="V79" s="14">
        <v>8979</v>
      </c>
      <c r="W79" s="14">
        <v>3062</v>
      </c>
      <c r="X79" s="75">
        <f>C79/'FEMA Flood Zones'!$J77</f>
        <v>0</v>
      </c>
      <c r="Y79" s="74">
        <f>D79/'FEMA Flood Zones'!$K77</f>
        <v>0</v>
      </c>
      <c r="Z79" s="74">
        <f>E79/'FEMA Flood Zones'!$J77</f>
        <v>0</v>
      </c>
      <c r="AA79" s="74">
        <f>F79/'FEMA Flood Zones'!$K77</f>
        <v>0</v>
      </c>
      <c r="AB79" s="74">
        <f>G79/'FEMA Flood Zones'!$J77</f>
        <v>0</v>
      </c>
      <c r="AC79" s="74">
        <f>H79/'FEMA Flood Zones'!$K77</f>
        <v>0</v>
      </c>
      <c r="AD79" s="74">
        <f>I79/'FEMA Flood Zones'!$J77</f>
        <v>3.1517986412740839E-2</v>
      </c>
      <c r="AE79" s="74">
        <f>J79/'FEMA Flood Zones'!$K77</f>
        <v>1.2083605486610059E-2</v>
      </c>
      <c r="AF79" s="74">
        <f>K79/'FEMA Flood Zones'!$J77</f>
        <v>4.1764116271299702E-2</v>
      </c>
      <c r="AG79" s="74">
        <f>L79/'FEMA Flood Zones'!$K77</f>
        <v>1.6002612671456563E-2</v>
      </c>
      <c r="AH79" s="74">
        <f>M79/'FEMA Flood Zones'!$J77</f>
        <v>4.6330326316961802E-2</v>
      </c>
      <c r="AI79" s="74">
        <f>N79/'FEMA Flood Zones'!$K77</f>
        <v>1.6655780535597648E-2</v>
      </c>
      <c r="AJ79" s="74">
        <f>O79/'FEMA Flood Zones'!$J77</f>
        <v>4.9560084641942309E-2</v>
      </c>
      <c r="AK79" s="74">
        <f>P79/'FEMA Flood Zones'!$K77</f>
        <v>1.7962116263879817E-2</v>
      </c>
      <c r="AL79" s="74">
        <f>Q79/'FEMA Flood Zones'!$J77</f>
        <v>5.5462746408286002E-2</v>
      </c>
      <c r="AM79" s="74">
        <f>R79/'FEMA Flood Zones'!$K77</f>
        <v>2.5473546701502287E-2</v>
      </c>
      <c r="AN79" s="74">
        <f>S79/'FEMA Flood Zones'!$J77</f>
        <v>5.9806214500501172E-2</v>
      </c>
      <c r="AO79" s="74">
        <f>T79/'FEMA Flood Zones'!$K77</f>
        <v>2.8412802090137166E-2</v>
      </c>
      <c r="AP79" s="224">
        <f t="shared" si="7"/>
        <v>5.1822938294161618E-2</v>
      </c>
      <c r="AQ79" s="4">
        <f t="shared" si="5"/>
        <v>29</v>
      </c>
      <c r="AR79" s="210">
        <f t="shared" si="8"/>
        <v>25</v>
      </c>
    </row>
    <row r="80" spans="1:44" x14ac:dyDescent="0.25">
      <c r="A80" s="2" t="s">
        <v>69</v>
      </c>
      <c r="B80" s="2" t="s">
        <v>83</v>
      </c>
      <c r="C80" s="70">
        <f>'SLR Raw'!C82+'SLR Raw'!W82</f>
        <v>0</v>
      </c>
      <c r="D80" s="70">
        <f>'SLR Raw'!D82+'SLR Raw'!X82</f>
        <v>0</v>
      </c>
      <c r="E80" s="70">
        <f>'SLR Raw'!E82+'SLR Raw'!Y82</f>
        <v>0</v>
      </c>
      <c r="F80" s="70">
        <f>'SLR Raw'!F82+'SLR Raw'!Z82</f>
        <v>0</v>
      </c>
      <c r="G80" s="70">
        <f>'SLR Raw'!G82+'SLR Raw'!AA82</f>
        <v>0</v>
      </c>
      <c r="H80" s="70">
        <f>'SLR Raw'!H82+'SLR Raw'!AB82</f>
        <v>0</v>
      </c>
      <c r="I80" s="70">
        <f>'SLR Raw'!I82+'SLR Raw'!AC82</f>
        <v>65</v>
      </c>
      <c r="J80" s="70">
        <f>'SLR Raw'!J82+'SLR Raw'!AD82</f>
        <v>2</v>
      </c>
      <c r="K80" s="70">
        <f>'SLR Raw'!M82+'SLR Raw'!AE82</f>
        <v>164</v>
      </c>
      <c r="L80" s="70">
        <f>'SLR Raw'!N82+'SLR Raw'!AF82</f>
        <v>2</v>
      </c>
      <c r="M80" s="70">
        <f>'SLR Raw'!O82+'SLR Raw'!AG82</f>
        <v>217</v>
      </c>
      <c r="N80" s="70">
        <f>'SLR Raw'!P82+'SLR Raw'!AH82</f>
        <v>10</v>
      </c>
      <c r="O80" s="70">
        <f>'SLR Raw'!Q82+'SLR Raw'!AI82</f>
        <v>234</v>
      </c>
      <c r="P80" s="70">
        <f>'SLR Raw'!R82+'SLR Raw'!AJ82</f>
        <v>10</v>
      </c>
      <c r="Q80" s="70">
        <f>'SLR Raw'!S82+'SLR Raw'!AK82</f>
        <v>279</v>
      </c>
      <c r="R80" s="70">
        <f>'SLR Raw'!T82+'SLR Raw'!AL82</f>
        <v>10</v>
      </c>
      <c r="S80" s="70">
        <f>'SLR Raw'!U82+'SLR Raw'!AM82</f>
        <v>307</v>
      </c>
      <c r="T80" s="70">
        <f>'SLR Raw'!V82+'SLR Raw'!AN82</f>
        <v>11</v>
      </c>
      <c r="U80" s="221">
        <f t="shared" si="6"/>
        <v>318</v>
      </c>
      <c r="V80" s="14">
        <v>8271</v>
      </c>
      <c r="W80" s="14">
        <v>1785</v>
      </c>
      <c r="X80" s="75">
        <f>C80/'FEMA Flood Zones'!$J78</f>
        <v>0</v>
      </c>
      <c r="Y80" s="74">
        <f>D80/'FEMA Flood Zones'!$K78</f>
        <v>0</v>
      </c>
      <c r="Z80" s="74">
        <f>E80/'FEMA Flood Zones'!$J78</f>
        <v>0</v>
      </c>
      <c r="AA80" s="74">
        <f>F80/'FEMA Flood Zones'!$K78</f>
        <v>0</v>
      </c>
      <c r="AB80" s="74">
        <f>G80/'FEMA Flood Zones'!$J78</f>
        <v>0</v>
      </c>
      <c r="AC80" s="74">
        <f>H80/'FEMA Flood Zones'!$K78</f>
        <v>0</v>
      </c>
      <c r="AD80" s="74">
        <f>I80/'FEMA Flood Zones'!$J78</f>
        <v>7.8587837020916464E-3</v>
      </c>
      <c r="AE80" s="74">
        <f>J80/'FEMA Flood Zones'!$K78</f>
        <v>1.1204481792717086E-3</v>
      </c>
      <c r="AF80" s="74">
        <f>K80/'FEMA Flood Zones'!$J78</f>
        <v>1.9828315802200458E-2</v>
      </c>
      <c r="AG80" s="74">
        <f>L80/'FEMA Flood Zones'!$K78</f>
        <v>1.1204481792717086E-3</v>
      </c>
      <c r="AH80" s="74">
        <f>M80/'FEMA Flood Zones'!$J78</f>
        <v>2.623624712852134E-2</v>
      </c>
      <c r="AI80" s="74">
        <f>N80/'FEMA Flood Zones'!$K78</f>
        <v>5.6022408963585435E-3</v>
      </c>
      <c r="AJ80" s="74">
        <f>O80/'FEMA Flood Zones'!$J78</f>
        <v>2.8291621327529923E-2</v>
      </c>
      <c r="AK80" s="74">
        <f>P80/'FEMA Flood Zones'!$K78</f>
        <v>5.6022408963585435E-3</v>
      </c>
      <c r="AL80" s="74">
        <f>Q80/'FEMA Flood Zones'!$J78</f>
        <v>3.3732317736670292E-2</v>
      </c>
      <c r="AM80" s="74">
        <f>R80/'FEMA Flood Zones'!$K78</f>
        <v>5.6022408963585435E-3</v>
      </c>
      <c r="AN80" s="74">
        <f>S80/'FEMA Flood Zones'!$J78</f>
        <v>3.7117639946802082E-2</v>
      </c>
      <c r="AO80" s="74">
        <f>T80/'FEMA Flood Zones'!$K78</f>
        <v>6.1624649859943975E-3</v>
      </c>
      <c r="AP80" s="224">
        <f t="shared" si="7"/>
        <v>3.1622911694510737E-2</v>
      </c>
      <c r="AQ80" s="4">
        <f t="shared" si="5"/>
        <v>36</v>
      </c>
      <c r="AR80" s="210">
        <f t="shared" si="8"/>
        <v>28</v>
      </c>
    </row>
    <row r="81" spans="1:44" x14ac:dyDescent="0.25">
      <c r="A81" s="2" t="s">
        <v>69</v>
      </c>
      <c r="B81" s="2" t="s">
        <v>69</v>
      </c>
      <c r="C81" s="70">
        <f>'SLR Raw'!C83+'SLR Raw'!W83</f>
        <v>0</v>
      </c>
      <c r="D81" s="70">
        <f>'SLR Raw'!D83+'SLR Raw'!X83</f>
        <v>0</v>
      </c>
      <c r="E81" s="70">
        <f>'SLR Raw'!E83+'SLR Raw'!Y83</f>
        <v>0</v>
      </c>
      <c r="F81" s="70">
        <f>'SLR Raw'!F83+'SLR Raw'!Z83</f>
        <v>0</v>
      </c>
      <c r="G81" s="70">
        <f>'SLR Raw'!G83+'SLR Raw'!AA83</f>
        <v>1177</v>
      </c>
      <c r="H81" s="70">
        <f>'SLR Raw'!H83+'SLR Raw'!AB83</f>
        <v>256</v>
      </c>
      <c r="I81" s="70">
        <f>'SLR Raw'!I83+'SLR Raw'!AC83</f>
        <v>1258</v>
      </c>
      <c r="J81" s="70">
        <f>'SLR Raw'!J83+'SLR Raw'!AD83</f>
        <v>290</v>
      </c>
      <c r="K81" s="70">
        <f>'SLR Raw'!M83+'SLR Raw'!AE83</f>
        <v>7644</v>
      </c>
      <c r="L81" s="70">
        <f>'SLR Raw'!N83+'SLR Raw'!AF83</f>
        <v>3044</v>
      </c>
      <c r="M81" s="70">
        <f>'SLR Raw'!O83+'SLR Raw'!AG83</f>
        <v>7766</v>
      </c>
      <c r="N81" s="70">
        <f>'SLR Raw'!P83+'SLR Raw'!AH83</f>
        <v>3252</v>
      </c>
      <c r="O81" s="70">
        <f>'SLR Raw'!Q83+'SLR Raw'!AI83</f>
        <v>7834</v>
      </c>
      <c r="P81" s="70">
        <f>'SLR Raw'!R83+'SLR Raw'!AJ83</f>
        <v>3334</v>
      </c>
      <c r="Q81" s="70">
        <f>'SLR Raw'!S83+'SLR Raw'!AK83</f>
        <v>7939</v>
      </c>
      <c r="R81" s="70">
        <f>'SLR Raw'!T83+'SLR Raw'!AL83</f>
        <v>3471</v>
      </c>
      <c r="S81" s="70">
        <f>'SLR Raw'!U83+'SLR Raw'!AM83</f>
        <v>8073</v>
      </c>
      <c r="T81" s="70">
        <f>'SLR Raw'!V83+'SLR Raw'!AN83</f>
        <v>3575</v>
      </c>
      <c r="U81" s="221">
        <f t="shared" si="6"/>
        <v>11648</v>
      </c>
      <c r="V81" s="14">
        <v>17875</v>
      </c>
      <c r="W81" s="14">
        <v>9301</v>
      </c>
      <c r="X81" s="75">
        <f>C81/'FEMA Flood Zones'!$J79</f>
        <v>0</v>
      </c>
      <c r="Y81" s="74">
        <f>D81/'FEMA Flood Zones'!$K79</f>
        <v>0</v>
      </c>
      <c r="Z81" s="74">
        <f>E81/'FEMA Flood Zones'!$J79</f>
        <v>0</v>
      </c>
      <c r="AA81" s="74">
        <f>F81/'FEMA Flood Zones'!$K79</f>
        <v>0</v>
      </c>
      <c r="AB81" s="74">
        <f>G81/'FEMA Flood Zones'!$J79</f>
        <v>6.5846153846153846E-2</v>
      </c>
      <c r="AC81" s="74">
        <f>H81/'FEMA Flood Zones'!$K79</f>
        <v>2.7523922158907643E-2</v>
      </c>
      <c r="AD81" s="74">
        <f>I81/'FEMA Flood Zones'!$J79</f>
        <v>7.0377622377622379E-2</v>
      </c>
      <c r="AE81" s="74">
        <f>J81/'FEMA Flood Zones'!$K79</f>
        <v>3.1179443070637566E-2</v>
      </c>
      <c r="AF81" s="74">
        <f>K81/'FEMA Flood Zones'!$J79</f>
        <v>0.42763636363636365</v>
      </c>
      <c r="AG81" s="74">
        <f>L81/'FEMA Flood Zones'!$K79</f>
        <v>0.3272766369207612</v>
      </c>
      <c r="AH81" s="74">
        <f>M81/'FEMA Flood Zones'!$J79</f>
        <v>0.43446153846153845</v>
      </c>
      <c r="AI81" s="74">
        <f>N81/'FEMA Flood Zones'!$K79</f>
        <v>0.34963982367487367</v>
      </c>
      <c r="AJ81" s="74">
        <f>O81/'FEMA Flood Zones'!$J79</f>
        <v>0.43826573426573429</v>
      </c>
      <c r="AK81" s="74">
        <f>P81/'FEMA Flood Zones'!$K79</f>
        <v>0.35845607999139878</v>
      </c>
      <c r="AL81" s="74">
        <f>Q81/'FEMA Flood Zones'!$J79</f>
        <v>0.44413986013986012</v>
      </c>
      <c r="AM81" s="74">
        <f>R81/'FEMA Flood Zones'!$K79</f>
        <v>0.3731856789592517</v>
      </c>
      <c r="AN81" s="74">
        <f>S81/'FEMA Flood Zones'!$J79</f>
        <v>0.45163636363636361</v>
      </c>
      <c r="AO81" s="74">
        <f>T81/'FEMA Flood Zones'!$K79</f>
        <v>0.38436727233630791</v>
      </c>
      <c r="AP81" s="224">
        <f t="shared" si="7"/>
        <v>0.42861348248454517</v>
      </c>
      <c r="AQ81" s="4">
        <f t="shared" si="5"/>
        <v>2</v>
      </c>
      <c r="AR81" s="210">
        <f t="shared" si="8"/>
        <v>5</v>
      </c>
    </row>
    <row r="82" spans="1:44" x14ac:dyDescent="0.25">
      <c r="A82" s="2" t="s">
        <v>69</v>
      </c>
      <c r="B82" s="2" t="s">
        <v>84</v>
      </c>
      <c r="C82" s="70">
        <f>'SLR Raw'!C84+'SLR Raw'!W84</f>
        <v>0</v>
      </c>
      <c r="D82" s="70">
        <f>'SLR Raw'!D84+'SLR Raw'!X84</f>
        <v>0</v>
      </c>
      <c r="E82" s="70">
        <f>'SLR Raw'!E84+'SLR Raw'!Y84</f>
        <v>0</v>
      </c>
      <c r="F82" s="70">
        <f>'SLR Raw'!F84+'SLR Raw'!Z84</f>
        <v>0</v>
      </c>
      <c r="G82" s="70">
        <f>'SLR Raw'!G84+'SLR Raw'!AA84</f>
        <v>0</v>
      </c>
      <c r="H82" s="70">
        <f>'SLR Raw'!H84+'SLR Raw'!AB84</f>
        <v>0</v>
      </c>
      <c r="I82" s="70">
        <f>'SLR Raw'!I84+'SLR Raw'!AC84</f>
        <v>0</v>
      </c>
      <c r="J82" s="70">
        <f>'SLR Raw'!J84+'SLR Raw'!AD84</f>
        <v>0</v>
      </c>
      <c r="K82" s="70">
        <f>'SLR Raw'!M84+'SLR Raw'!AE84</f>
        <v>0</v>
      </c>
      <c r="L82" s="70">
        <f>'SLR Raw'!N84+'SLR Raw'!AF84</f>
        <v>0</v>
      </c>
      <c r="M82" s="70">
        <f>'SLR Raw'!O84+'SLR Raw'!AG84</f>
        <v>0</v>
      </c>
      <c r="N82" s="70">
        <f>'SLR Raw'!P84+'SLR Raw'!AH84</f>
        <v>0</v>
      </c>
      <c r="O82" s="70">
        <f>'SLR Raw'!Q84+'SLR Raw'!AI84</f>
        <v>0</v>
      </c>
      <c r="P82" s="70">
        <f>'SLR Raw'!R84+'SLR Raw'!AJ84</f>
        <v>0</v>
      </c>
      <c r="Q82" s="70">
        <f>'SLR Raw'!S84+'SLR Raw'!AK84</f>
        <v>0</v>
      </c>
      <c r="R82" s="70">
        <f>'SLR Raw'!T84+'SLR Raw'!AL84</f>
        <v>0</v>
      </c>
      <c r="S82" s="70">
        <f>'SLR Raw'!U84+'SLR Raw'!AM84</f>
        <v>0</v>
      </c>
      <c r="T82" s="70">
        <f>'SLR Raw'!V84+'SLR Raw'!AN84</f>
        <v>2</v>
      </c>
      <c r="U82" s="221">
        <f t="shared" si="6"/>
        <v>2</v>
      </c>
      <c r="V82" s="14">
        <v>13018</v>
      </c>
      <c r="W82" s="14">
        <v>3295</v>
      </c>
      <c r="X82" s="75">
        <f>C82/'FEMA Flood Zones'!$J80</f>
        <v>0</v>
      </c>
      <c r="Y82" s="74">
        <f>D82/'FEMA Flood Zones'!$K80</f>
        <v>0</v>
      </c>
      <c r="Z82" s="74">
        <f>E82/'FEMA Flood Zones'!$J80</f>
        <v>0</v>
      </c>
      <c r="AA82" s="74">
        <f>F82/'FEMA Flood Zones'!$K80</f>
        <v>0</v>
      </c>
      <c r="AB82" s="74">
        <f>G82/'FEMA Flood Zones'!$J80</f>
        <v>0</v>
      </c>
      <c r="AC82" s="74">
        <f>H82/'FEMA Flood Zones'!$K80</f>
        <v>0</v>
      </c>
      <c r="AD82" s="74">
        <f>I82/'FEMA Flood Zones'!$J80</f>
        <v>0</v>
      </c>
      <c r="AE82" s="74">
        <f>J82/'FEMA Flood Zones'!$K80</f>
        <v>0</v>
      </c>
      <c r="AF82" s="74">
        <f>K82/'FEMA Flood Zones'!$J80</f>
        <v>0</v>
      </c>
      <c r="AG82" s="74">
        <f>L82/'FEMA Flood Zones'!$K80</f>
        <v>0</v>
      </c>
      <c r="AH82" s="74">
        <f>M82/'FEMA Flood Zones'!$J80</f>
        <v>0</v>
      </c>
      <c r="AI82" s="74">
        <f>N82/'FEMA Flood Zones'!$K80</f>
        <v>0</v>
      </c>
      <c r="AJ82" s="74">
        <f>O82/'FEMA Flood Zones'!$J80</f>
        <v>0</v>
      </c>
      <c r="AK82" s="74">
        <f>P82/'FEMA Flood Zones'!$K80</f>
        <v>0</v>
      </c>
      <c r="AL82" s="74">
        <f>Q82/'FEMA Flood Zones'!$J80</f>
        <v>0</v>
      </c>
      <c r="AM82" s="74">
        <f>R82/'FEMA Flood Zones'!$K80</f>
        <v>0</v>
      </c>
      <c r="AN82" s="74">
        <f>S82/'FEMA Flood Zones'!$J80</f>
        <v>0</v>
      </c>
      <c r="AO82" s="74">
        <f>T82/'FEMA Flood Zones'!$K80</f>
        <v>6.0698027314112291E-4</v>
      </c>
      <c r="AP82" s="224">
        <f t="shared" si="7"/>
        <v>1.2260160608103967E-4</v>
      </c>
      <c r="AQ82" s="4">
        <f t="shared" si="5"/>
        <v>60</v>
      </c>
      <c r="AR82" s="210">
        <f t="shared" si="8"/>
        <v>60</v>
      </c>
    </row>
    <row r="83" spans="1:44" x14ac:dyDescent="0.25">
      <c r="A83" s="2" t="s">
        <v>69</v>
      </c>
      <c r="B83" s="2" t="s">
        <v>85</v>
      </c>
      <c r="C83" s="70">
        <f>'SLR Raw'!C85+'SLR Raw'!W85</f>
        <v>0</v>
      </c>
      <c r="D83" s="70">
        <f>'SLR Raw'!D85+'SLR Raw'!X85</f>
        <v>0</v>
      </c>
      <c r="E83" s="70">
        <f>'SLR Raw'!E85+'SLR Raw'!Y85</f>
        <v>21</v>
      </c>
      <c r="F83" s="70">
        <f>'SLR Raw'!F85+'SLR Raw'!Z85</f>
        <v>2</v>
      </c>
      <c r="G83" s="70">
        <f>'SLR Raw'!G85+'SLR Raw'!AA85</f>
        <v>21</v>
      </c>
      <c r="H83" s="70">
        <f>'SLR Raw'!H85+'SLR Raw'!AB85</f>
        <v>2</v>
      </c>
      <c r="I83" s="70">
        <f>'SLR Raw'!I85+'SLR Raw'!AC85</f>
        <v>21</v>
      </c>
      <c r="J83" s="70">
        <f>'SLR Raw'!J85+'SLR Raw'!AD85</f>
        <v>2</v>
      </c>
      <c r="K83" s="70">
        <f>'SLR Raw'!M85+'SLR Raw'!AE85</f>
        <v>22</v>
      </c>
      <c r="L83" s="70">
        <f>'SLR Raw'!N85+'SLR Raw'!AF85</f>
        <v>3</v>
      </c>
      <c r="M83" s="70">
        <f>'SLR Raw'!O85+'SLR Raw'!AG85</f>
        <v>22</v>
      </c>
      <c r="N83" s="70">
        <f>'SLR Raw'!P85+'SLR Raw'!AH85</f>
        <v>3</v>
      </c>
      <c r="O83" s="70">
        <f>'SLR Raw'!Q85+'SLR Raw'!AI85</f>
        <v>22</v>
      </c>
      <c r="P83" s="70">
        <f>'SLR Raw'!R85+'SLR Raw'!AJ85</f>
        <v>4</v>
      </c>
      <c r="Q83" s="70">
        <f>'SLR Raw'!S85+'SLR Raw'!AK85</f>
        <v>30</v>
      </c>
      <c r="R83" s="70">
        <f>'SLR Raw'!T85+'SLR Raw'!AL85</f>
        <v>6</v>
      </c>
      <c r="S83" s="70">
        <f>'SLR Raw'!U85+'SLR Raw'!AM85</f>
        <v>68</v>
      </c>
      <c r="T83" s="70">
        <f>'SLR Raw'!V85+'SLR Raw'!AN85</f>
        <v>7</v>
      </c>
      <c r="U83" s="221">
        <f t="shared" si="6"/>
        <v>75</v>
      </c>
      <c r="V83" s="14">
        <v>16155</v>
      </c>
      <c r="W83" s="14">
        <v>1067</v>
      </c>
      <c r="X83" s="75">
        <f>C83/'FEMA Flood Zones'!$J81</f>
        <v>0</v>
      </c>
      <c r="Y83" s="74">
        <f>D83/'FEMA Flood Zones'!$K81</f>
        <v>0</v>
      </c>
      <c r="Z83" s="74">
        <f>E83/'FEMA Flood Zones'!$J81</f>
        <v>1.2999071494893223E-3</v>
      </c>
      <c r="AA83" s="74">
        <f>F83/'FEMA Flood Zones'!$K81</f>
        <v>1.8744142455482662E-3</v>
      </c>
      <c r="AB83" s="74">
        <f>G83/'FEMA Flood Zones'!$J81</f>
        <v>1.2999071494893223E-3</v>
      </c>
      <c r="AC83" s="74">
        <f>H83/'FEMA Flood Zones'!$K81</f>
        <v>1.8744142455482662E-3</v>
      </c>
      <c r="AD83" s="74">
        <f>I83/'FEMA Flood Zones'!$J81</f>
        <v>1.2999071494893223E-3</v>
      </c>
      <c r="AE83" s="74">
        <f>J83/'FEMA Flood Zones'!$K81</f>
        <v>1.8744142455482662E-3</v>
      </c>
      <c r="AF83" s="74">
        <f>K83/'FEMA Flood Zones'!$J81</f>
        <v>1.3618074899411946E-3</v>
      </c>
      <c r="AG83" s="74">
        <f>L83/'FEMA Flood Zones'!$K81</f>
        <v>2.8116213683223993E-3</v>
      </c>
      <c r="AH83" s="74">
        <f>M83/'FEMA Flood Zones'!$J81</f>
        <v>1.3618074899411946E-3</v>
      </c>
      <c r="AI83" s="74">
        <f>N83/'FEMA Flood Zones'!$K81</f>
        <v>2.8116213683223993E-3</v>
      </c>
      <c r="AJ83" s="74">
        <f>O83/'FEMA Flood Zones'!$J81</f>
        <v>1.3618074899411946E-3</v>
      </c>
      <c r="AK83" s="74">
        <f>P83/'FEMA Flood Zones'!$K81</f>
        <v>3.7488284910965324E-3</v>
      </c>
      <c r="AL83" s="74">
        <f>Q83/'FEMA Flood Zones'!$J81</f>
        <v>1.8570102135561746E-3</v>
      </c>
      <c r="AM83" s="74">
        <f>R83/'FEMA Flood Zones'!$K81</f>
        <v>5.6232427366447986E-3</v>
      </c>
      <c r="AN83" s="74">
        <f>S83/'FEMA Flood Zones'!$J81</f>
        <v>4.2092231507273288E-3</v>
      </c>
      <c r="AO83" s="74">
        <f>T83/'FEMA Flood Zones'!$K81</f>
        <v>6.5604498594189313E-3</v>
      </c>
      <c r="AP83" s="224">
        <f t="shared" si="7"/>
        <v>4.354894901869702E-3</v>
      </c>
      <c r="AQ83" s="4">
        <f t="shared" si="5"/>
        <v>46</v>
      </c>
      <c r="AR83" s="210">
        <f t="shared" si="8"/>
        <v>48</v>
      </c>
    </row>
    <row r="84" spans="1:44" x14ac:dyDescent="0.25">
      <c r="A84" s="15" t="s">
        <v>69</v>
      </c>
      <c r="B84" s="15" t="s">
        <v>86</v>
      </c>
      <c r="C84" s="69">
        <f>'SLR Raw'!C86+'SLR Raw'!W86</f>
        <v>0</v>
      </c>
      <c r="D84" s="69">
        <f>'SLR Raw'!D86+'SLR Raw'!X86</f>
        <v>0</v>
      </c>
      <c r="E84" s="69">
        <f>'SLR Raw'!E86+'SLR Raw'!Y86</f>
        <v>0</v>
      </c>
      <c r="F84" s="69">
        <f>'SLR Raw'!F86+'SLR Raw'!Z86</f>
        <v>0</v>
      </c>
      <c r="G84" s="69">
        <f>'SLR Raw'!G86+'SLR Raw'!AA86</f>
        <v>0</v>
      </c>
      <c r="H84" s="69">
        <f>'SLR Raw'!H86+'SLR Raw'!AB86</f>
        <v>0</v>
      </c>
      <c r="I84" s="69">
        <f>'SLR Raw'!I86+'SLR Raw'!AC86</f>
        <v>0</v>
      </c>
      <c r="J84" s="69">
        <f>'SLR Raw'!J86+'SLR Raw'!AD86</f>
        <v>0</v>
      </c>
      <c r="K84" s="69">
        <f>'SLR Raw'!M86+'SLR Raw'!AE86</f>
        <v>0</v>
      </c>
      <c r="L84" s="69">
        <f>'SLR Raw'!N86+'SLR Raw'!AF86</f>
        <v>0</v>
      </c>
      <c r="M84" s="69">
        <f>'SLR Raw'!O86+'SLR Raw'!AG86</f>
        <v>0</v>
      </c>
      <c r="N84" s="69">
        <f>'SLR Raw'!P86+'SLR Raw'!AH86</f>
        <v>0</v>
      </c>
      <c r="O84" s="69">
        <f>'SLR Raw'!Q86+'SLR Raw'!AI86</f>
        <v>0</v>
      </c>
      <c r="P84" s="69">
        <f>'SLR Raw'!R86+'SLR Raw'!AJ86</f>
        <v>0</v>
      </c>
      <c r="Q84" s="69">
        <f>'SLR Raw'!S86+'SLR Raw'!AK86</f>
        <v>0</v>
      </c>
      <c r="R84" s="69">
        <f>'SLR Raw'!T86+'SLR Raw'!AL86</f>
        <v>0</v>
      </c>
      <c r="S84" s="69">
        <f>'SLR Raw'!U86+'SLR Raw'!AM86</f>
        <v>0</v>
      </c>
      <c r="T84" s="69">
        <f>'SLR Raw'!V86+'SLR Raw'!AN86</f>
        <v>0</v>
      </c>
      <c r="U84" s="222">
        <f t="shared" si="6"/>
        <v>0</v>
      </c>
      <c r="V84" s="18">
        <v>1962</v>
      </c>
      <c r="W84" s="18">
        <v>7</v>
      </c>
      <c r="X84" s="76">
        <f>C84/'FEMA Flood Zones'!$J82</f>
        <v>0</v>
      </c>
      <c r="Y84" s="73">
        <f>D84/'FEMA Flood Zones'!$K82</f>
        <v>0</v>
      </c>
      <c r="Z84" s="73">
        <f>E84/'FEMA Flood Zones'!$J82</f>
        <v>0</v>
      </c>
      <c r="AA84" s="73">
        <f>F84/'FEMA Flood Zones'!$K82</f>
        <v>0</v>
      </c>
      <c r="AB84" s="73">
        <f>G84/'FEMA Flood Zones'!$J82</f>
        <v>0</v>
      </c>
      <c r="AC84" s="73">
        <f>H84/'FEMA Flood Zones'!$K82</f>
        <v>0</v>
      </c>
      <c r="AD84" s="73">
        <f>I84/'FEMA Flood Zones'!$J82</f>
        <v>0</v>
      </c>
      <c r="AE84" s="73">
        <f>J84/'FEMA Flood Zones'!$K82</f>
        <v>0</v>
      </c>
      <c r="AF84" s="73">
        <f>K84/'FEMA Flood Zones'!$J82</f>
        <v>0</v>
      </c>
      <c r="AG84" s="73">
        <f>L84/'FEMA Flood Zones'!$K82</f>
        <v>0</v>
      </c>
      <c r="AH84" s="73">
        <f>M84/'FEMA Flood Zones'!$J82</f>
        <v>0</v>
      </c>
      <c r="AI84" s="73">
        <f>N84/'FEMA Flood Zones'!$K82</f>
        <v>0</v>
      </c>
      <c r="AJ84" s="73">
        <f>O84/'FEMA Flood Zones'!$J82</f>
        <v>0</v>
      </c>
      <c r="AK84" s="73">
        <f>P84/'FEMA Flood Zones'!$K82</f>
        <v>0</v>
      </c>
      <c r="AL84" s="73">
        <f>Q84/'FEMA Flood Zones'!$J82</f>
        <v>0</v>
      </c>
      <c r="AM84" s="73">
        <f>R84/'FEMA Flood Zones'!$K82</f>
        <v>0</v>
      </c>
      <c r="AN84" s="73">
        <f>S84/'FEMA Flood Zones'!$J82</f>
        <v>0</v>
      </c>
      <c r="AO84" s="73">
        <f>T84/'FEMA Flood Zones'!$K82</f>
        <v>0</v>
      </c>
      <c r="AP84" s="225">
        <f t="shared" si="7"/>
        <v>0</v>
      </c>
      <c r="AQ84" s="164">
        <f t="shared" si="5"/>
        <v>60</v>
      </c>
      <c r="AR84" s="211">
        <f t="shared" si="8"/>
        <v>60</v>
      </c>
    </row>
    <row r="85" spans="1:44" x14ac:dyDescent="0.25">
      <c r="A85" s="2" t="s">
        <v>87</v>
      </c>
      <c r="B85" s="2" t="s">
        <v>88</v>
      </c>
      <c r="C85" s="68">
        <f>'SLR Raw'!C87</f>
        <v>0</v>
      </c>
      <c r="D85" s="68">
        <f>'SLR Raw'!D87</f>
        <v>0</v>
      </c>
      <c r="E85" s="68">
        <f>'SLR Raw'!E87</f>
        <v>0</v>
      </c>
      <c r="F85" s="68">
        <f>'SLR Raw'!F87</f>
        <v>0</v>
      </c>
      <c r="G85" s="68">
        <f>'SLR Raw'!G87</f>
        <v>0</v>
      </c>
      <c r="H85" s="68">
        <f>'SLR Raw'!H87</f>
        <v>0</v>
      </c>
      <c r="I85" s="68">
        <f>'SLR Raw'!I87</f>
        <v>0</v>
      </c>
      <c r="J85" s="68">
        <f>'SLR Raw'!J87</f>
        <v>0</v>
      </c>
      <c r="K85" s="68">
        <f>'SLR Raw'!M87</f>
        <v>0</v>
      </c>
      <c r="L85" s="68">
        <f>'SLR Raw'!N87</f>
        <v>0</v>
      </c>
      <c r="M85" s="68">
        <f>'SLR Raw'!O87</f>
        <v>0</v>
      </c>
      <c r="N85" s="68">
        <f>'SLR Raw'!P87</f>
        <v>0</v>
      </c>
      <c r="O85" s="68">
        <f>'SLR Raw'!Q87</f>
        <v>0</v>
      </c>
      <c r="P85" s="68">
        <f>'SLR Raw'!R87</f>
        <v>0</v>
      </c>
      <c r="Q85" s="68">
        <f>'SLR Raw'!S87</f>
        <v>0</v>
      </c>
      <c r="R85" s="68">
        <f>'SLR Raw'!T87</f>
        <v>0</v>
      </c>
      <c r="S85" s="68">
        <f>'SLR Raw'!U87</f>
        <v>0</v>
      </c>
      <c r="T85" s="68">
        <f>'SLR Raw'!V87</f>
        <v>0</v>
      </c>
      <c r="U85" s="221">
        <f t="shared" si="6"/>
        <v>0</v>
      </c>
      <c r="V85" s="14">
        <v>7742</v>
      </c>
      <c r="W85" s="14">
        <v>3118</v>
      </c>
      <c r="X85" s="75">
        <f>C85/'FEMA Flood Zones'!$J83</f>
        <v>0</v>
      </c>
      <c r="Y85" s="74">
        <f>D85/'FEMA Flood Zones'!$K83</f>
        <v>0</v>
      </c>
      <c r="Z85" s="74">
        <f>E85/'FEMA Flood Zones'!$J83</f>
        <v>0</v>
      </c>
      <c r="AA85" s="74">
        <f>F85/'FEMA Flood Zones'!$K83</f>
        <v>0</v>
      </c>
      <c r="AB85" s="74">
        <f>G85/'FEMA Flood Zones'!$J83</f>
        <v>0</v>
      </c>
      <c r="AC85" s="74">
        <f>H85/'FEMA Flood Zones'!$K83</f>
        <v>0</v>
      </c>
      <c r="AD85" s="74">
        <f>I85/'FEMA Flood Zones'!$J83</f>
        <v>0</v>
      </c>
      <c r="AE85" s="74">
        <f>J85/'FEMA Flood Zones'!$K83</f>
        <v>0</v>
      </c>
      <c r="AF85" s="74">
        <f>K85/'FEMA Flood Zones'!$J83</f>
        <v>0</v>
      </c>
      <c r="AG85" s="74">
        <f>L85/'FEMA Flood Zones'!$K83</f>
        <v>0</v>
      </c>
      <c r="AH85" s="74">
        <f>M85/'FEMA Flood Zones'!$J83</f>
        <v>0</v>
      </c>
      <c r="AI85" s="74">
        <f>N85/'FEMA Flood Zones'!$K83</f>
        <v>0</v>
      </c>
      <c r="AJ85" s="74">
        <f>O85/'FEMA Flood Zones'!$J83</f>
        <v>0</v>
      </c>
      <c r="AK85" s="74">
        <f>P85/'FEMA Flood Zones'!$K83</f>
        <v>0</v>
      </c>
      <c r="AL85" s="74">
        <f>Q85/'FEMA Flood Zones'!$J83</f>
        <v>0</v>
      </c>
      <c r="AM85" s="74">
        <f>R85/'FEMA Flood Zones'!$K83</f>
        <v>0</v>
      </c>
      <c r="AN85" s="74">
        <f>S85/'FEMA Flood Zones'!$J83</f>
        <v>0</v>
      </c>
      <c r="AO85" s="74">
        <f>T85/'FEMA Flood Zones'!$K83</f>
        <v>0</v>
      </c>
      <c r="AP85" s="224">
        <f t="shared" si="7"/>
        <v>0</v>
      </c>
      <c r="AQ85" s="4">
        <f t="shared" si="5"/>
        <v>60</v>
      </c>
      <c r="AR85" s="210">
        <f t="shared" si="8"/>
        <v>60</v>
      </c>
    </row>
    <row r="86" spans="1:44" x14ac:dyDescent="0.25">
      <c r="A86" s="2" t="s">
        <v>87</v>
      </c>
      <c r="B86" s="2" t="s">
        <v>89</v>
      </c>
      <c r="C86" s="68">
        <f>'SLR Raw'!C88</f>
        <v>0</v>
      </c>
      <c r="D86" s="68">
        <f>'SLR Raw'!D88</f>
        <v>0</v>
      </c>
      <c r="E86" s="68">
        <f>'SLR Raw'!E88</f>
        <v>0</v>
      </c>
      <c r="F86" s="68">
        <f>'SLR Raw'!F88</f>
        <v>0</v>
      </c>
      <c r="G86" s="68">
        <f>'SLR Raw'!G88</f>
        <v>0</v>
      </c>
      <c r="H86" s="68">
        <f>'SLR Raw'!H88</f>
        <v>0</v>
      </c>
      <c r="I86" s="68">
        <f>'SLR Raw'!I88</f>
        <v>0</v>
      </c>
      <c r="J86" s="68">
        <f>'SLR Raw'!J88</f>
        <v>0</v>
      </c>
      <c r="K86" s="68">
        <f>'SLR Raw'!M88</f>
        <v>0</v>
      </c>
      <c r="L86" s="68">
        <f>'SLR Raw'!N88</f>
        <v>0</v>
      </c>
      <c r="M86" s="68">
        <f>'SLR Raw'!O88</f>
        <v>0</v>
      </c>
      <c r="N86" s="68">
        <f>'SLR Raw'!P88</f>
        <v>0</v>
      </c>
      <c r="O86" s="68">
        <f>'SLR Raw'!Q88</f>
        <v>0</v>
      </c>
      <c r="P86" s="68">
        <f>'SLR Raw'!R88</f>
        <v>0</v>
      </c>
      <c r="Q86" s="68">
        <f>'SLR Raw'!S88</f>
        <v>0</v>
      </c>
      <c r="R86" s="68">
        <f>'SLR Raw'!T88</f>
        <v>0</v>
      </c>
      <c r="S86" s="68">
        <f>'SLR Raw'!U88</f>
        <v>0</v>
      </c>
      <c r="T86" s="68">
        <f>'SLR Raw'!V88</f>
        <v>0</v>
      </c>
      <c r="U86" s="221">
        <f t="shared" si="6"/>
        <v>0</v>
      </c>
      <c r="V86" s="14">
        <v>12035</v>
      </c>
      <c r="W86" s="14">
        <v>3162</v>
      </c>
      <c r="X86" s="75">
        <f>C86/'FEMA Flood Zones'!$J84</f>
        <v>0</v>
      </c>
      <c r="Y86" s="74">
        <f>D86/'FEMA Flood Zones'!$K84</f>
        <v>0</v>
      </c>
      <c r="Z86" s="74">
        <f>E86/'FEMA Flood Zones'!$J84</f>
        <v>0</v>
      </c>
      <c r="AA86" s="74">
        <f>F86/'FEMA Flood Zones'!$K84</f>
        <v>0</v>
      </c>
      <c r="AB86" s="74">
        <f>G86/'FEMA Flood Zones'!$J84</f>
        <v>0</v>
      </c>
      <c r="AC86" s="74">
        <f>H86/'FEMA Flood Zones'!$K84</f>
        <v>0</v>
      </c>
      <c r="AD86" s="74">
        <f>I86/'FEMA Flood Zones'!$J84</f>
        <v>0</v>
      </c>
      <c r="AE86" s="74">
        <f>J86/'FEMA Flood Zones'!$K84</f>
        <v>0</v>
      </c>
      <c r="AF86" s="74">
        <f>K86/'FEMA Flood Zones'!$J84</f>
        <v>0</v>
      </c>
      <c r="AG86" s="74">
        <f>L86/'FEMA Flood Zones'!$K84</f>
        <v>0</v>
      </c>
      <c r="AH86" s="74">
        <f>M86/'FEMA Flood Zones'!$J84</f>
        <v>0</v>
      </c>
      <c r="AI86" s="74">
        <f>N86/'FEMA Flood Zones'!$K84</f>
        <v>0</v>
      </c>
      <c r="AJ86" s="74">
        <f>O86/'FEMA Flood Zones'!$J84</f>
        <v>0</v>
      </c>
      <c r="AK86" s="74">
        <f>P86/'FEMA Flood Zones'!$K84</f>
        <v>0</v>
      </c>
      <c r="AL86" s="74">
        <f>Q86/'FEMA Flood Zones'!$J84</f>
        <v>0</v>
      </c>
      <c r="AM86" s="74">
        <f>R86/'FEMA Flood Zones'!$K84</f>
        <v>0</v>
      </c>
      <c r="AN86" s="74">
        <f>S86/'FEMA Flood Zones'!$J84</f>
        <v>0</v>
      </c>
      <c r="AO86" s="74">
        <f>T86/'FEMA Flood Zones'!$K84</f>
        <v>0</v>
      </c>
      <c r="AP86" s="224">
        <f t="shared" si="7"/>
        <v>0</v>
      </c>
      <c r="AQ86" s="4">
        <f t="shared" si="5"/>
        <v>60</v>
      </c>
      <c r="AR86" s="210">
        <f t="shared" si="8"/>
        <v>60</v>
      </c>
    </row>
    <row r="87" spans="1:44" x14ac:dyDescent="0.25">
      <c r="A87" s="2" t="s">
        <v>87</v>
      </c>
      <c r="B87" s="2" t="s">
        <v>90</v>
      </c>
      <c r="C87" s="68">
        <f>'SLR Raw'!C89</f>
        <v>0</v>
      </c>
      <c r="D87" s="68">
        <f>'SLR Raw'!D89</f>
        <v>0</v>
      </c>
      <c r="E87" s="68">
        <f>'SLR Raw'!E89</f>
        <v>0</v>
      </c>
      <c r="F87" s="68">
        <f>'SLR Raw'!F89</f>
        <v>0</v>
      </c>
      <c r="G87" s="68">
        <f>'SLR Raw'!G89</f>
        <v>0</v>
      </c>
      <c r="H87" s="68">
        <f>'SLR Raw'!H89</f>
        <v>0</v>
      </c>
      <c r="I87" s="68">
        <f>'SLR Raw'!I89</f>
        <v>0</v>
      </c>
      <c r="J87" s="68">
        <f>'SLR Raw'!J89</f>
        <v>0</v>
      </c>
      <c r="K87" s="68">
        <f>'SLR Raw'!M89</f>
        <v>0</v>
      </c>
      <c r="L87" s="68">
        <f>'SLR Raw'!N89</f>
        <v>0</v>
      </c>
      <c r="M87" s="68">
        <f>'SLR Raw'!O89</f>
        <v>0</v>
      </c>
      <c r="N87" s="68">
        <f>'SLR Raw'!P89</f>
        <v>0</v>
      </c>
      <c r="O87" s="68">
        <f>'SLR Raw'!Q89</f>
        <v>0</v>
      </c>
      <c r="P87" s="68">
        <f>'SLR Raw'!R89</f>
        <v>0</v>
      </c>
      <c r="Q87" s="68">
        <f>'SLR Raw'!S89</f>
        <v>0</v>
      </c>
      <c r="R87" s="68">
        <f>'SLR Raw'!T89</f>
        <v>0</v>
      </c>
      <c r="S87" s="68">
        <f>'SLR Raw'!U89</f>
        <v>0</v>
      </c>
      <c r="T87" s="68">
        <f>'SLR Raw'!V89</f>
        <v>0</v>
      </c>
      <c r="U87" s="221">
        <f t="shared" si="6"/>
        <v>0</v>
      </c>
      <c r="V87" s="14">
        <v>12000</v>
      </c>
      <c r="W87" s="14">
        <v>1148</v>
      </c>
      <c r="X87" s="75">
        <f>C87/'FEMA Flood Zones'!$J85</f>
        <v>0</v>
      </c>
      <c r="Y87" s="74">
        <f>D87/'FEMA Flood Zones'!$K85</f>
        <v>0</v>
      </c>
      <c r="Z87" s="74">
        <f>E87/'FEMA Flood Zones'!$J85</f>
        <v>0</v>
      </c>
      <c r="AA87" s="74">
        <f>F87/'FEMA Flood Zones'!$K85</f>
        <v>0</v>
      </c>
      <c r="AB87" s="74">
        <f>G87/'FEMA Flood Zones'!$J85</f>
        <v>0</v>
      </c>
      <c r="AC87" s="74">
        <f>H87/'FEMA Flood Zones'!$K85</f>
        <v>0</v>
      </c>
      <c r="AD87" s="74">
        <f>I87/'FEMA Flood Zones'!$J85</f>
        <v>0</v>
      </c>
      <c r="AE87" s="74">
        <f>J87/'FEMA Flood Zones'!$K85</f>
        <v>0</v>
      </c>
      <c r="AF87" s="74">
        <f>K87/'FEMA Flood Zones'!$J85</f>
        <v>0</v>
      </c>
      <c r="AG87" s="74">
        <f>L87/'FEMA Flood Zones'!$K85</f>
        <v>0</v>
      </c>
      <c r="AH87" s="74">
        <f>M87/'FEMA Flood Zones'!$J85</f>
        <v>0</v>
      </c>
      <c r="AI87" s="74">
        <f>N87/'FEMA Flood Zones'!$K85</f>
        <v>0</v>
      </c>
      <c r="AJ87" s="74">
        <f>O87/'FEMA Flood Zones'!$J85</f>
        <v>0</v>
      </c>
      <c r="AK87" s="74">
        <f>P87/'FEMA Flood Zones'!$K85</f>
        <v>0</v>
      </c>
      <c r="AL87" s="74">
        <f>Q87/'FEMA Flood Zones'!$J85</f>
        <v>0</v>
      </c>
      <c r="AM87" s="74">
        <f>R87/'FEMA Flood Zones'!$K85</f>
        <v>0</v>
      </c>
      <c r="AN87" s="74">
        <f>S87/'FEMA Flood Zones'!$J85</f>
        <v>0</v>
      </c>
      <c r="AO87" s="74">
        <f>T87/'FEMA Flood Zones'!$K85</f>
        <v>0</v>
      </c>
      <c r="AP87" s="224">
        <f t="shared" si="7"/>
        <v>0</v>
      </c>
      <c r="AQ87" s="4">
        <f t="shared" si="5"/>
        <v>60</v>
      </c>
      <c r="AR87" s="210">
        <f t="shared" si="8"/>
        <v>60</v>
      </c>
    </row>
    <row r="88" spans="1:44" x14ac:dyDescent="0.25">
      <c r="A88" s="2" t="s">
        <v>87</v>
      </c>
      <c r="B88" s="2" t="s">
        <v>91</v>
      </c>
      <c r="C88" s="68">
        <f>'SLR Raw'!C90</f>
        <v>0</v>
      </c>
      <c r="D88" s="68">
        <f>'SLR Raw'!D90</f>
        <v>0</v>
      </c>
      <c r="E88" s="68">
        <f>'SLR Raw'!E90</f>
        <v>0</v>
      </c>
      <c r="F88" s="68">
        <f>'SLR Raw'!F90</f>
        <v>0</v>
      </c>
      <c r="G88" s="68">
        <f>'SLR Raw'!G90</f>
        <v>0</v>
      </c>
      <c r="H88" s="68">
        <f>'SLR Raw'!H90</f>
        <v>0</v>
      </c>
      <c r="I88" s="68">
        <f>'SLR Raw'!I90</f>
        <v>0</v>
      </c>
      <c r="J88" s="68">
        <f>'SLR Raw'!J90</f>
        <v>0</v>
      </c>
      <c r="K88" s="68">
        <f>'SLR Raw'!M90</f>
        <v>0</v>
      </c>
      <c r="L88" s="68">
        <f>'SLR Raw'!N90</f>
        <v>0</v>
      </c>
      <c r="M88" s="68">
        <f>'SLR Raw'!O90</f>
        <v>0</v>
      </c>
      <c r="N88" s="68">
        <f>'SLR Raw'!P90</f>
        <v>0</v>
      </c>
      <c r="O88" s="68">
        <f>'SLR Raw'!Q90</f>
        <v>0</v>
      </c>
      <c r="P88" s="68">
        <f>'SLR Raw'!R90</f>
        <v>0</v>
      </c>
      <c r="Q88" s="68">
        <f>'SLR Raw'!S90</f>
        <v>0</v>
      </c>
      <c r="R88" s="68">
        <f>'SLR Raw'!T90</f>
        <v>0</v>
      </c>
      <c r="S88" s="68">
        <f>'SLR Raw'!U90</f>
        <v>0</v>
      </c>
      <c r="T88" s="68">
        <f>'SLR Raw'!V90</f>
        <v>0</v>
      </c>
      <c r="U88" s="221">
        <f t="shared" si="6"/>
        <v>0</v>
      </c>
      <c r="V88" s="14">
        <v>9379</v>
      </c>
      <c r="W88" s="14">
        <v>801</v>
      </c>
      <c r="X88" s="75">
        <f>C88/'FEMA Flood Zones'!$J86</f>
        <v>0</v>
      </c>
      <c r="Y88" s="74">
        <f>D88/'FEMA Flood Zones'!$K86</f>
        <v>0</v>
      </c>
      <c r="Z88" s="74">
        <f>E88/'FEMA Flood Zones'!$J86</f>
        <v>0</v>
      </c>
      <c r="AA88" s="74">
        <f>F88/'FEMA Flood Zones'!$K86</f>
        <v>0</v>
      </c>
      <c r="AB88" s="74">
        <f>G88/'FEMA Flood Zones'!$J86</f>
        <v>0</v>
      </c>
      <c r="AC88" s="74">
        <f>H88/'FEMA Flood Zones'!$K86</f>
        <v>0</v>
      </c>
      <c r="AD88" s="74">
        <f>I88/'FEMA Flood Zones'!$J86</f>
        <v>0</v>
      </c>
      <c r="AE88" s="74">
        <f>J88/'FEMA Flood Zones'!$K86</f>
        <v>0</v>
      </c>
      <c r="AF88" s="74">
        <f>K88/'FEMA Flood Zones'!$J86</f>
        <v>0</v>
      </c>
      <c r="AG88" s="74">
        <f>L88/'FEMA Flood Zones'!$K86</f>
        <v>0</v>
      </c>
      <c r="AH88" s="74">
        <f>M88/'FEMA Flood Zones'!$J86</f>
        <v>0</v>
      </c>
      <c r="AI88" s="74">
        <f>N88/'FEMA Flood Zones'!$K86</f>
        <v>0</v>
      </c>
      <c r="AJ88" s="74">
        <f>O88/'FEMA Flood Zones'!$J86</f>
        <v>0</v>
      </c>
      <c r="AK88" s="74">
        <f>P88/'FEMA Flood Zones'!$K86</f>
        <v>0</v>
      </c>
      <c r="AL88" s="74">
        <f>Q88/'FEMA Flood Zones'!$J86</f>
        <v>0</v>
      </c>
      <c r="AM88" s="74">
        <f>R88/'FEMA Flood Zones'!$K86</f>
        <v>0</v>
      </c>
      <c r="AN88" s="74">
        <f>S88/'FEMA Flood Zones'!$J86</f>
        <v>0</v>
      </c>
      <c r="AO88" s="74">
        <f>T88/'FEMA Flood Zones'!$K86</f>
        <v>0</v>
      </c>
      <c r="AP88" s="224">
        <f t="shared" si="7"/>
        <v>0</v>
      </c>
      <c r="AQ88" s="4">
        <f t="shared" si="5"/>
        <v>60</v>
      </c>
      <c r="AR88" s="210">
        <f t="shared" si="8"/>
        <v>60</v>
      </c>
    </row>
    <row r="89" spans="1:44" x14ac:dyDescent="0.25">
      <c r="A89" s="2" t="s">
        <v>87</v>
      </c>
      <c r="B89" s="2" t="s">
        <v>92</v>
      </c>
      <c r="C89" s="68">
        <f>'SLR Raw'!C91</f>
        <v>0</v>
      </c>
      <c r="D89" s="68">
        <f>'SLR Raw'!D91</f>
        <v>0</v>
      </c>
      <c r="E89" s="68">
        <f>'SLR Raw'!E91</f>
        <v>0</v>
      </c>
      <c r="F89" s="68">
        <f>'SLR Raw'!F91</f>
        <v>0</v>
      </c>
      <c r="G89" s="68">
        <f>'SLR Raw'!G91</f>
        <v>0</v>
      </c>
      <c r="H89" s="68">
        <f>'SLR Raw'!H91</f>
        <v>0</v>
      </c>
      <c r="I89" s="68">
        <f>'SLR Raw'!I91</f>
        <v>0</v>
      </c>
      <c r="J89" s="68">
        <f>'SLR Raw'!J91</f>
        <v>0</v>
      </c>
      <c r="K89" s="68">
        <f>'SLR Raw'!M91</f>
        <v>0</v>
      </c>
      <c r="L89" s="68">
        <f>'SLR Raw'!N91</f>
        <v>0</v>
      </c>
      <c r="M89" s="68">
        <f>'SLR Raw'!O91</f>
        <v>0</v>
      </c>
      <c r="N89" s="68">
        <f>'SLR Raw'!P91</f>
        <v>0</v>
      </c>
      <c r="O89" s="68">
        <f>'SLR Raw'!Q91</f>
        <v>0</v>
      </c>
      <c r="P89" s="68">
        <f>'SLR Raw'!R91</f>
        <v>0</v>
      </c>
      <c r="Q89" s="68">
        <f>'SLR Raw'!S91</f>
        <v>0</v>
      </c>
      <c r="R89" s="68">
        <f>'SLR Raw'!T91</f>
        <v>0</v>
      </c>
      <c r="S89" s="68">
        <f>'SLR Raw'!U91</f>
        <v>0</v>
      </c>
      <c r="T89" s="68">
        <f>'SLR Raw'!V91</f>
        <v>0</v>
      </c>
      <c r="U89" s="221">
        <f t="shared" si="6"/>
        <v>0</v>
      </c>
      <c r="V89" s="14">
        <v>3089</v>
      </c>
      <c r="W89" s="14">
        <v>3</v>
      </c>
      <c r="X89" s="75">
        <f>C89/'FEMA Flood Zones'!$J87</f>
        <v>0</v>
      </c>
      <c r="Y89" s="74">
        <f>D89/'FEMA Flood Zones'!$K87</f>
        <v>0</v>
      </c>
      <c r="Z89" s="74">
        <f>E89/'FEMA Flood Zones'!$J87</f>
        <v>0</v>
      </c>
      <c r="AA89" s="74">
        <f>F89/'FEMA Flood Zones'!$K87</f>
        <v>0</v>
      </c>
      <c r="AB89" s="74">
        <f>G89/'FEMA Flood Zones'!$J87</f>
        <v>0</v>
      </c>
      <c r="AC89" s="74">
        <f>H89/'FEMA Flood Zones'!$K87</f>
        <v>0</v>
      </c>
      <c r="AD89" s="74">
        <f>I89/'FEMA Flood Zones'!$J87</f>
        <v>0</v>
      </c>
      <c r="AE89" s="74">
        <f>J89/'FEMA Flood Zones'!$K87</f>
        <v>0</v>
      </c>
      <c r="AF89" s="74">
        <f>K89/'FEMA Flood Zones'!$J87</f>
        <v>0</v>
      </c>
      <c r="AG89" s="74">
        <f>L89/'FEMA Flood Zones'!$K87</f>
        <v>0</v>
      </c>
      <c r="AH89" s="74">
        <f>M89/'FEMA Flood Zones'!$J87</f>
        <v>0</v>
      </c>
      <c r="AI89" s="74">
        <f>N89/'FEMA Flood Zones'!$K87</f>
        <v>0</v>
      </c>
      <c r="AJ89" s="74">
        <f>O89/'FEMA Flood Zones'!$J87</f>
        <v>0</v>
      </c>
      <c r="AK89" s="74">
        <f>P89/'FEMA Flood Zones'!$K87</f>
        <v>0</v>
      </c>
      <c r="AL89" s="74">
        <f>Q89/'FEMA Flood Zones'!$J87</f>
        <v>0</v>
      </c>
      <c r="AM89" s="74">
        <f>R89/'FEMA Flood Zones'!$K87</f>
        <v>0</v>
      </c>
      <c r="AN89" s="74">
        <f>S89/'FEMA Flood Zones'!$J87</f>
        <v>0</v>
      </c>
      <c r="AO89" s="74">
        <f>T89/'FEMA Flood Zones'!$K87</f>
        <v>0</v>
      </c>
      <c r="AP89" s="224">
        <f t="shared" si="7"/>
        <v>0</v>
      </c>
      <c r="AQ89" s="4">
        <f t="shared" si="5"/>
        <v>60</v>
      </c>
      <c r="AR89" s="210">
        <f t="shared" si="8"/>
        <v>60</v>
      </c>
    </row>
    <row r="90" spans="1:44" x14ac:dyDescent="0.25">
      <c r="A90" s="2" t="s">
        <v>87</v>
      </c>
      <c r="B90" s="2" t="s">
        <v>93</v>
      </c>
      <c r="C90" s="68">
        <f>'SLR Raw'!C92</f>
        <v>0</v>
      </c>
      <c r="D90" s="68">
        <f>'SLR Raw'!D92</f>
        <v>0</v>
      </c>
      <c r="E90" s="68">
        <f>'SLR Raw'!E92</f>
        <v>0</v>
      </c>
      <c r="F90" s="68">
        <f>'SLR Raw'!F92</f>
        <v>0</v>
      </c>
      <c r="G90" s="68">
        <f>'SLR Raw'!G92</f>
        <v>0</v>
      </c>
      <c r="H90" s="68">
        <f>'SLR Raw'!H92</f>
        <v>0</v>
      </c>
      <c r="I90" s="68">
        <f>'SLR Raw'!I92</f>
        <v>0</v>
      </c>
      <c r="J90" s="68">
        <f>'SLR Raw'!J92</f>
        <v>0</v>
      </c>
      <c r="K90" s="68">
        <f>'SLR Raw'!M92</f>
        <v>0</v>
      </c>
      <c r="L90" s="68">
        <f>'SLR Raw'!N92</f>
        <v>0</v>
      </c>
      <c r="M90" s="68">
        <f>'SLR Raw'!O92</f>
        <v>0</v>
      </c>
      <c r="N90" s="68">
        <f>'SLR Raw'!P92</f>
        <v>0</v>
      </c>
      <c r="O90" s="68">
        <f>'SLR Raw'!Q92</f>
        <v>0</v>
      </c>
      <c r="P90" s="68">
        <f>'SLR Raw'!R92</f>
        <v>0</v>
      </c>
      <c r="Q90" s="68">
        <f>'SLR Raw'!S92</f>
        <v>0</v>
      </c>
      <c r="R90" s="68">
        <f>'SLR Raw'!T92</f>
        <v>0</v>
      </c>
      <c r="S90" s="68">
        <f>'SLR Raw'!U92</f>
        <v>0</v>
      </c>
      <c r="T90" s="68">
        <f>'SLR Raw'!V92</f>
        <v>0</v>
      </c>
      <c r="U90" s="221">
        <f t="shared" si="6"/>
        <v>0</v>
      </c>
      <c r="V90" s="14">
        <v>7497</v>
      </c>
      <c r="W90" s="14">
        <v>2285</v>
      </c>
      <c r="X90" s="75">
        <f>C90/'FEMA Flood Zones'!$J88</f>
        <v>0</v>
      </c>
      <c r="Y90" s="74">
        <f>D90/'FEMA Flood Zones'!$K88</f>
        <v>0</v>
      </c>
      <c r="Z90" s="74">
        <f>E90/'FEMA Flood Zones'!$J88</f>
        <v>0</v>
      </c>
      <c r="AA90" s="74">
        <f>F90/'FEMA Flood Zones'!$K88</f>
        <v>0</v>
      </c>
      <c r="AB90" s="74">
        <f>G90/'FEMA Flood Zones'!$J88</f>
        <v>0</v>
      </c>
      <c r="AC90" s="74">
        <f>H90/'FEMA Flood Zones'!$K88</f>
        <v>0</v>
      </c>
      <c r="AD90" s="74">
        <f>I90/'FEMA Flood Zones'!$J88</f>
        <v>0</v>
      </c>
      <c r="AE90" s="74">
        <f>J90/'FEMA Flood Zones'!$K88</f>
        <v>0</v>
      </c>
      <c r="AF90" s="74">
        <f>K90/'FEMA Flood Zones'!$J88</f>
        <v>0</v>
      </c>
      <c r="AG90" s="74">
        <f>L90/'FEMA Flood Zones'!$K88</f>
        <v>0</v>
      </c>
      <c r="AH90" s="74">
        <f>M90/'FEMA Flood Zones'!$J88</f>
        <v>0</v>
      </c>
      <c r="AI90" s="74">
        <f>N90/'FEMA Flood Zones'!$K88</f>
        <v>0</v>
      </c>
      <c r="AJ90" s="74">
        <f>O90/'FEMA Flood Zones'!$J88</f>
        <v>0</v>
      </c>
      <c r="AK90" s="74">
        <f>P90/'FEMA Flood Zones'!$K88</f>
        <v>0</v>
      </c>
      <c r="AL90" s="74">
        <f>Q90/'FEMA Flood Zones'!$J88</f>
        <v>0</v>
      </c>
      <c r="AM90" s="74">
        <f>R90/'FEMA Flood Zones'!$K88</f>
        <v>0</v>
      </c>
      <c r="AN90" s="74">
        <f>S90/'FEMA Flood Zones'!$J88</f>
        <v>0</v>
      </c>
      <c r="AO90" s="74">
        <f>T90/'FEMA Flood Zones'!$K88</f>
        <v>0</v>
      </c>
      <c r="AP90" s="224">
        <f t="shared" si="7"/>
        <v>0</v>
      </c>
      <c r="AQ90" s="4">
        <f t="shared" si="5"/>
        <v>60</v>
      </c>
      <c r="AR90" s="210">
        <f t="shared" si="8"/>
        <v>60</v>
      </c>
    </row>
    <row r="91" spans="1:44" x14ac:dyDescent="0.25">
      <c r="A91" s="2" t="s">
        <v>87</v>
      </c>
      <c r="B91" s="2" t="s">
        <v>94</v>
      </c>
      <c r="C91" s="68">
        <f>'SLR Raw'!C93</f>
        <v>4</v>
      </c>
      <c r="D91" s="68">
        <f>'SLR Raw'!D93</f>
        <v>0</v>
      </c>
      <c r="E91" s="68">
        <f>'SLR Raw'!E93</f>
        <v>4</v>
      </c>
      <c r="F91" s="68">
        <f>'SLR Raw'!F93</f>
        <v>0</v>
      </c>
      <c r="G91" s="68">
        <f>'SLR Raw'!G93</f>
        <v>5</v>
      </c>
      <c r="H91" s="68">
        <f>'SLR Raw'!H93</f>
        <v>0</v>
      </c>
      <c r="I91" s="68">
        <f>'SLR Raw'!I93</f>
        <v>5</v>
      </c>
      <c r="J91" s="68">
        <f>'SLR Raw'!J93</f>
        <v>0</v>
      </c>
      <c r="K91" s="68">
        <f>'SLR Raw'!M93</f>
        <v>8</v>
      </c>
      <c r="L91" s="68">
        <f>'SLR Raw'!N93</f>
        <v>0</v>
      </c>
      <c r="M91" s="68">
        <f>'SLR Raw'!O93</f>
        <v>84</v>
      </c>
      <c r="N91" s="68">
        <f>'SLR Raw'!P93</f>
        <v>132</v>
      </c>
      <c r="O91" s="68">
        <f>'SLR Raw'!Q93</f>
        <v>750</v>
      </c>
      <c r="P91" s="68">
        <f>'SLR Raw'!R93</f>
        <v>323</v>
      </c>
      <c r="Q91" s="68">
        <f>'SLR Raw'!S93</f>
        <v>1364</v>
      </c>
      <c r="R91" s="68">
        <f>'SLR Raw'!T93</f>
        <v>463</v>
      </c>
      <c r="S91" s="68">
        <f>'SLR Raw'!U93</f>
        <v>1955</v>
      </c>
      <c r="T91" s="68">
        <f>'SLR Raw'!V93</f>
        <v>651</v>
      </c>
      <c r="U91" s="221">
        <f t="shared" si="6"/>
        <v>2606</v>
      </c>
      <c r="V91" s="14">
        <v>12817</v>
      </c>
      <c r="W91" s="14">
        <v>4508</v>
      </c>
      <c r="X91" s="75">
        <f>C91/'FEMA Flood Zones'!$J89</f>
        <v>3.1208551143013184E-4</v>
      </c>
      <c r="Y91" s="74">
        <f>D91/'FEMA Flood Zones'!$K89</f>
        <v>0</v>
      </c>
      <c r="Z91" s="74">
        <f>E91/'FEMA Flood Zones'!$J89</f>
        <v>3.1208551143013184E-4</v>
      </c>
      <c r="AA91" s="74">
        <f>F91/'FEMA Flood Zones'!$K89</f>
        <v>0</v>
      </c>
      <c r="AB91" s="74">
        <f>G91/'FEMA Flood Zones'!$J89</f>
        <v>3.9010688928766481E-4</v>
      </c>
      <c r="AC91" s="74">
        <f>H91/'FEMA Flood Zones'!$K89</f>
        <v>0</v>
      </c>
      <c r="AD91" s="74">
        <f>I91/'FEMA Flood Zones'!$J89</f>
        <v>3.9010688928766481E-4</v>
      </c>
      <c r="AE91" s="74">
        <f>J91/'FEMA Flood Zones'!$K89</f>
        <v>0</v>
      </c>
      <c r="AF91" s="74">
        <f>K91/'FEMA Flood Zones'!$J89</f>
        <v>6.2417102286026367E-4</v>
      </c>
      <c r="AG91" s="74">
        <f>L91/'FEMA Flood Zones'!$K89</f>
        <v>0</v>
      </c>
      <c r="AH91" s="74">
        <f>M91/'FEMA Flood Zones'!$J89</f>
        <v>6.5537957400327689E-3</v>
      </c>
      <c r="AI91" s="74">
        <f>N91/'FEMA Flood Zones'!$K89</f>
        <v>2.9281277728482696E-2</v>
      </c>
      <c r="AJ91" s="74">
        <f>O91/'FEMA Flood Zones'!$J89</f>
        <v>5.8516033393149723E-2</v>
      </c>
      <c r="AK91" s="74">
        <f>P91/'FEMA Flood Zones'!$K89</f>
        <v>7.1650399290150837E-2</v>
      </c>
      <c r="AL91" s="74">
        <f>Q91/'FEMA Flood Zones'!$J89</f>
        <v>0.10642115939767496</v>
      </c>
      <c r="AM91" s="74">
        <f>R91/'FEMA Flood Zones'!$K89</f>
        <v>0.10270629991126885</v>
      </c>
      <c r="AN91" s="74">
        <f>S91/'FEMA Flood Zones'!$J89</f>
        <v>0.15253179371147693</v>
      </c>
      <c r="AO91" s="74">
        <f>T91/'FEMA Flood Zones'!$K89</f>
        <v>0.14440993788819875</v>
      </c>
      <c r="AP91" s="224">
        <f t="shared" si="7"/>
        <v>0.15041847041847042</v>
      </c>
      <c r="AQ91" s="4">
        <f t="shared" si="5"/>
        <v>13</v>
      </c>
      <c r="AR91" s="210">
        <f t="shared" si="8"/>
        <v>15</v>
      </c>
    </row>
    <row r="92" spans="1:44" x14ac:dyDescent="0.25">
      <c r="A92" s="2" t="s">
        <v>87</v>
      </c>
      <c r="B92" s="2" t="s">
        <v>95</v>
      </c>
      <c r="C92" s="68">
        <f>'SLR Raw'!C94</f>
        <v>0</v>
      </c>
      <c r="D92" s="68">
        <f>'SLR Raw'!D94</f>
        <v>0</v>
      </c>
      <c r="E92" s="68">
        <f>'SLR Raw'!E94</f>
        <v>0</v>
      </c>
      <c r="F92" s="68">
        <f>'SLR Raw'!F94</f>
        <v>0</v>
      </c>
      <c r="G92" s="68">
        <f>'SLR Raw'!G94</f>
        <v>0</v>
      </c>
      <c r="H92" s="68">
        <f>'SLR Raw'!H94</f>
        <v>0</v>
      </c>
      <c r="I92" s="68">
        <f>'SLR Raw'!I94</f>
        <v>0</v>
      </c>
      <c r="J92" s="68">
        <f>'SLR Raw'!J94</f>
        <v>0</v>
      </c>
      <c r="K92" s="68">
        <f>'SLR Raw'!M94</f>
        <v>0</v>
      </c>
      <c r="L92" s="68">
        <f>'SLR Raw'!N94</f>
        <v>0</v>
      </c>
      <c r="M92" s="68">
        <f>'SLR Raw'!O94</f>
        <v>0</v>
      </c>
      <c r="N92" s="68">
        <f>'SLR Raw'!P94</f>
        <v>0</v>
      </c>
      <c r="O92" s="68">
        <f>'SLR Raw'!Q94</f>
        <v>0</v>
      </c>
      <c r="P92" s="68">
        <f>'SLR Raw'!R94</f>
        <v>0</v>
      </c>
      <c r="Q92" s="68">
        <f>'SLR Raw'!S94</f>
        <v>0</v>
      </c>
      <c r="R92" s="68">
        <f>'SLR Raw'!T94</f>
        <v>0</v>
      </c>
      <c r="S92" s="68">
        <f>'SLR Raw'!U94</f>
        <v>0</v>
      </c>
      <c r="T92" s="68">
        <f>'SLR Raw'!V94</f>
        <v>0</v>
      </c>
      <c r="U92" s="221">
        <f t="shared" si="6"/>
        <v>0</v>
      </c>
      <c r="V92" s="14">
        <v>1232</v>
      </c>
      <c r="W92" s="14">
        <v>0</v>
      </c>
      <c r="X92" s="75">
        <f>C92/'FEMA Flood Zones'!$J90</f>
        <v>0</v>
      </c>
      <c r="Y92" s="74" t="e">
        <f>D92/'FEMA Flood Zones'!$K90</f>
        <v>#DIV/0!</v>
      </c>
      <c r="Z92" s="74">
        <f>E92/'FEMA Flood Zones'!$J90</f>
        <v>0</v>
      </c>
      <c r="AA92" s="74" t="e">
        <f>F92/'FEMA Flood Zones'!$K90</f>
        <v>#DIV/0!</v>
      </c>
      <c r="AB92" s="74">
        <f>G92/'FEMA Flood Zones'!$J90</f>
        <v>0</v>
      </c>
      <c r="AC92" s="74" t="e">
        <f>H92/'FEMA Flood Zones'!$K90</f>
        <v>#DIV/0!</v>
      </c>
      <c r="AD92" s="74">
        <f>I92/'FEMA Flood Zones'!$J90</f>
        <v>0</v>
      </c>
      <c r="AE92" s="74" t="e">
        <f>J92/'FEMA Flood Zones'!$K90</f>
        <v>#DIV/0!</v>
      </c>
      <c r="AF92" s="74">
        <f>K92/'FEMA Flood Zones'!$J90</f>
        <v>0</v>
      </c>
      <c r="AG92" s="74" t="e">
        <f>L92/'FEMA Flood Zones'!$K90</f>
        <v>#DIV/0!</v>
      </c>
      <c r="AH92" s="74">
        <f>M92/'FEMA Flood Zones'!$J90</f>
        <v>0</v>
      </c>
      <c r="AI92" s="74" t="e">
        <f>N92/'FEMA Flood Zones'!$K90</f>
        <v>#DIV/0!</v>
      </c>
      <c r="AJ92" s="74">
        <f>O92/'FEMA Flood Zones'!$J90</f>
        <v>0</v>
      </c>
      <c r="AK92" s="74" t="e">
        <f>P92/'FEMA Flood Zones'!$K90</f>
        <v>#DIV/0!</v>
      </c>
      <c r="AL92" s="74">
        <f>Q92/'FEMA Flood Zones'!$J90</f>
        <v>0</v>
      </c>
      <c r="AM92" s="74" t="e">
        <f>R92/'FEMA Flood Zones'!$K90</f>
        <v>#DIV/0!</v>
      </c>
      <c r="AN92" s="74">
        <f>S92/'FEMA Flood Zones'!$J90</f>
        <v>0</v>
      </c>
      <c r="AO92" s="74" t="e">
        <f>T92/'FEMA Flood Zones'!$K90</f>
        <v>#DIV/0!</v>
      </c>
      <c r="AP92" s="224">
        <f t="shared" si="7"/>
        <v>0</v>
      </c>
      <c r="AQ92" s="4">
        <f t="shared" si="5"/>
        <v>60</v>
      </c>
      <c r="AR92" s="210">
        <f t="shared" si="8"/>
        <v>60</v>
      </c>
    </row>
    <row r="93" spans="1:44" x14ac:dyDescent="0.25">
      <c r="A93" s="2" t="s">
        <v>87</v>
      </c>
      <c r="B93" s="2" t="s">
        <v>96</v>
      </c>
      <c r="C93" s="68">
        <f>'SLR Raw'!C95</f>
        <v>0</v>
      </c>
      <c r="D93" s="68">
        <f>'SLR Raw'!D95</f>
        <v>0</v>
      </c>
      <c r="E93" s="68">
        <f>'SLR Raw'!E95</f>
        <v>0</v>
      </c>
      <c r="F93" s="68">
        <f>'SLR Raw'!F95</f>
        <v>0</v>
      </c>
      <c r="G93" s="68">
        <f>'SLR Raw'!G95</f>
        <v>0</v>
      </c>
      <c r="H93" s="68">
        <f>'SLR Raw'!H95</f>
        <v>0</v>
      </c>
      <c r="I93" s="68">
        <f>'SLR Raw'!I95</f>
        <v>0</v>
      </c>
      <c r="J93" s="68">
        <f>'SLR Raw'!J95</f>
        <v>0</v>
      </c>
      <c r="K93" s="68">
        <f>'SLR Raw'!M95</f>
        <v>0</v>
      </c>
      <c r="L93" s="68">
        <f>'SLR Raw'!N95</f>
        <v>0</v>
      </c>
      <c r="M93" s="68">
        <f>'SLR Raw'!O95</f>
        <v>0</v>
      </c>
      <c r="N93" s="68">
        <f>'SLR Raw'!P95</f>
        <v>0</v>
      </c>
      <c r="O93" s="68">
        <f>'SLR Raw'!Q95</f>
        <v>0</v>
      </c>
      <c r="P93" s="68">
        <f>'SLR Raw'!R95</f>
        <v>0</v>
      </c>
      <c r="Q93" s="68">
        <f>'SLR Raw'!S95</f>
        <v>0</v>
      </c>
      <c r="R93" s="68">
        <f>'SLR Raw'!T95</f>
        <v>0</v>
      </c>
      <c r="S93" s="68">
        <f>'SLR Raw'!U95</f>
        <v>0</v>
      </c>
      <c r="T93" s="68">
        <f>'SLR Raw'!V95</f>
        <v>0</v>
      </c>
      <c r="U93" s="221">
        <f t="shared" si="6"/>
        <v>0</v>
      </c>
      <c r="V93" s="14">
        <v>9967</v>
      </c>
      <c r="W93" s="14">
        <v>1777</v>
      </c>
      <c r="X93" s="75">
        <f>C93/'FEMA Flood Zones'!$J91</f>
        <v>0</v>
      </c>
      <c r="Y93" s="74">
        <f>D93/'FEMA Flood Zones'!$K91</f>
        <v>0</v>
      </c>
      <c r="Z93" s="74">
        <f>E93/'FEMA Flood Zones'!$J91</f>
        <v>0</v>
      </c>
      <c r="AA93" s="74">
        <f>F93/'FEMA Flood Zones'!$K91</f>
        <v>0</v>
      </c>
      <c r="AB93" s="74">
        <f>G93/'FEMA Flood Zones'!$J91</f>
        <v>0</v>
      </c>
      <c r="AC93" s="74">
        <f>H93/'FEMA Flood Zones'!$K91</f>
        <v>0</v>
      </c>
      <c r="AD93" s="74">
        <f>I93/'FEMA Flood Zones'!$J91</f>
        <v>0</v>
      </c>
      <c r="AE93" s="74">
        <f>J93/'FEMA Flood Zones'!$K91</f>
        <v>0</v>
      </c>
      <c r="AF93" s="74">
        <f>K93/'FEMA Flood Zones'!$J91</f>
        <v>0</v>
      </c>
      <c r="AG93" s="74">
        <f>L93/'FEMA Flood Zones'!$K91</f>
        <v>0</v>
      </c>
      <c r="AH93" s="74">
        <f>M93/'FEMA Flood Zones'!$J91</f>
        <v>0</v>
      </c>
      <c r="AI93" s="74">
        <f>N93/'FEMA Flood Zones'!$K91</f>
        <v>0</v>
      </c>
      <c r="AJ93" s="74">
        <f>O93/'FEMA Flood Zones'!$J91</f>
        <v>0</v>
      </c>
      <c r="AK93" s="74">
        <f>P93/'FEMA Flood Zones'!$K91</f>
        <v>0</v>
      </c>
      <c r="AL93" s="74">
        <f>Q93/'FEMA Flood Zones'!$J91</f>
        <v>0</v>
      </c>
      <c r="AM93" s="74">
        <f>R93/'FEMA Flood Zones'!$K91</f>
        <v>0</v>
      </c>
      <c r="AN93" s="74">
        <f>S93/'FEMA Flood Zones'!$J91</f>
        <v>0</v>
      </c>
      <c r="AO93" s="74">
        <f>T93/'FEMA Flood Zones'!$K91</f>
        <v>0</v>
      </c>
      <c r="AP93" s="224">
        <f t="shared" si="7"/>
        <v>0</v>
      </c>
      <c r="AQ93" s="4">
        <f t="shared" si="5"/>
        <v>60</v>
      </c>
      <c r="AR93" s="210">
        <f t="shared" si="8"/>
        <v>60</v>
      </c>
    </row>
    <row r="94" spans="1:44" x14ac:dyDescent="0.25">
      <c r="A94" s="2" t="s">
        <v>87</v>
      </c>
      <c r="B94" s="2" t="s">
        <v>97</v>
      </c>
      <c r="C94" s="68">
        <f>'SLR Raw'!C96</f>
        <v>4</v>
      </c>
      <c r="D94" s="68">
        <f>'SLR Raw'!D96</f>
        <v>0</v>
      </c>
      <c r="E94" s="68">
        <f>'SLR Raw'!E96</f>
        <v>5</v>
      </c>
      <c r="F94" s="68">
        <f>'SLR Raw'!F96</f>
        <v>0</v>
      </c>
      <c r="G94" s="68">
        <f>'SLR Raw'!G96</f>
        <v>9</v>
      </c>
      <c r="H94" s="68">
        <f>'SLR Raw'!H96</f>
        <v>0</v>
      </c>
      <c r="I94" s="68">
        <f>'SLR Raw'!I96</f>
        <v>12</v>
      </c>
      <c r="J94" s="68">
        <f>'SLR Raw'!J96</f>
        <v>0</v>
      </c>
      <c r="K94" s="68">
        <f>'SLR Raw'!M96</f>
        <v>21</v>
      </c>
      <c r="L94" s="68">
        <f>'SLR Raw'!N96</f>
        <v>0</v>
      </c>
      <c r="M94" s="68">
        <f>'SLR Raw'!O96</f>
        <v>21</v>
      </c>
      <c r="N94" s="68">
        <f>'SLR Raw'!P96</f>
        <v>1</v>
      </c>
      <c r="O94" s="68">
        <f>'SLR Raw'!Q96</f>
        <v>27</v>
      </c>
      <c r="P94" s="68">
        <f>'SLR Raw'!R96</f>
        <v>11</v>
      </c>
      <c r="Q94" s="68">
        <f>'SLR Raw'!S96</f>
        <v>33</v>
      </c>
      <c r="R94" s="68">
        <f>'SLR Raw'!T96</f>
        <v>30</v>
      </c>
      <c r="S94" s="68">
        <f>'SLR Raw'!U96</f>
        <v>50</v>
      </c>
      <c r="T94" s="68">
        <f>'SLR Raw'!V96</f>
        <v>52</v>
      </c>
      <c r="U94" s="221">
        <f t="shared" si="6"/>
        <v>102</v>
      </c>
      <c r="V94" s="14">
        <v>9463</v>
      </c>
      <c r="W94" s="14">
        <v>6838</v>
      </c>
      <c r="X94" s="75">
        <f>C94/'FEMA Flood Zones'!$J92</f>
        <v>4.2269893268519497E-4</v>
      </c>
      <c r="Y94" s="74">
        <f>D94/'FEMA Flood Zones'!$K92</f>
        <v>0</v>
      </c>
      <c r="Z94" s="74">
        <f>E94/'FEMA Flood Zones'!$J92</f>
        <v>5.283736658564937E-4</v>
      </c>
      <c r="AA94" s="74">
        <f>F94/'FEMA Flood Zones'!$K92</f>
        <v>0</v>
      </c>
      <c r="AB94" s="74">
        <f>G94/'FEMA Flood Zones'!$J92</f>
        <v>9.5107259854168872E-4</v>
      </c>
      <c r="AC94" s="74">
        <f>H94/'FEMA Flood Zones'!$K92</f>
        <v>0</v>
      </c>
      <c r="AD94" s="74">
        <f>I94/'FEMA Flood Zones'!$J92</f>
        <v>1.268096798055585E-3</v>
      </c>
      <c r="AE94" s="74">
        <f>J94/'FEMA Flood Zones'!$K92</f>
        <v>0</v>
      </c>
      <c r="AF94" s="74">
        <f>K94/'FEMA Flood Zones'!$J92</f>
        <v>2.2191693965972737E-3</v>
      </c>
      <c r="AG94" s="74">
        <f>L94/'FEMA Flood Zones'!$K92</f>
        <v>0</v>
      </c>
      <c r="AH94" s="74">
        <f>M94/'FEMA Flood Zones'!$J92</f>
        <v>2.2191693965972737E-3</v>
      </c>
      <c r="AI94" s="74">
        <f>N94/'FEMA Flood Zones'!$K92</f>
        <v>1.4624159110851126E-4</v>
      </c>
      <c r="AJ94" s="74">
        <f>O94/'FEMA Flood Zones'!$J92</f>
        <v>2.8532177956250662E-3</v>
      </c>
      <c r="AK94" s="74">
        <f>P94/'FEMA Flood Zones'!$K92</f>
        <v>1.6086575021936238E-3</v>
      </c>
      <c r="AL94" s="74">
        <f>Q94/'FEMA Flood Zones'!$J92</f>
        <v>3.4872661946528587E-3</v>
      </c>
      <c r="AM94" s="74">
        <f>R94/'FEMA Flood Zones'!$K92</f>
        <v>4.3872477332553379E-3</v>
      </c>
      <c r="AN94" s="74">
        <f>S94/'FEMA Flood Zones'!$J92</f>
        <v>5.2837366585649368E-3</v>
      </c>
      <c r="AO94" s="74">
        <f>T94/'FEMA Flood Zones'!$K92</f>
        <v>7.6045627376425855E-3</v>
      </c>
      <c r="AP94" s="224">
        <f t="shared" si="7"/>
        <v>6.257284829151586E-3</v>
      </c>
      <c r="AQ94" s="4">
        <f t="shared" si="5"/>
        <v>49</v>
      </c>
      <c r="AR94" s="210">
        <f t="shared" si="8"/>
        <v>46</v>
      </c>
    </row>
    <row r="95" spans="1:44" x14ac:dyDescent="0.25">
      <c r="A95" s="2" t="s">
        <v>87</v>
      </c>
      <c r="B95" s="2" t="s">
        <v>98</v>
      </c>
      <c r="C95" s="68">
        <f>'SLR Raw'!C97</f>
        <v>0</v>
      </c>
      <c r="D95" s="68">
        <f>'SLR Raw'!D97</f>
        <v>0</v>
      </c>
      <c r="E95" s="68">
        <f>'SLR Raw'!E97</f>
        <v>1</v>
      </c>
      <c r="F95" s="68">
        <f>'SLR Raw'!F97</f>
        <v>0</v>
      </c>
      <c r="G95" s="68">
        <f>'SLR Raw'!G97</f>
        <v>1854</v>
      </c>
      <c r="H95" s="68">
        <f>'SLR Raw'!H97</f>
        <v>240</v>
      </c>
      <c r="I95" s="68">
        <f>'SLR Raw'!I97</f>
        <v>2231</v>
      </c>
      <c r="J95" s="68">
        <f>'SLR Raw'!J97</f>
        <v>327</v>
      </c>
      <c r="K95" s="68">
        <f>'SLR Raw'!M97</f>
        <v>2850</v>
      </c>
      <c r="L95" s="68">
        <f>'SLR Raw'!N97</f>
        <v>461</v>
      </c>
      <c r="M95" s="68">
        <f>'SLR Raw'!O97</f>
        <v>3230</v>
      </c>
      <c r="N95" s="68">
        <f>'SLR Raw'!P97</f>
        <v>492</v>
      </c>
      <c r="O95" s="68">
        <f>'SLR Raw'!Q97</f>
        <v>3438</v>
      </c>
      <c r="P95" s="68">
        <f>'SLR Raw'!R97</f>
        <v>523</v>
      </c>
      <c r="Q95" s="68">
        <f>'SLR Raw'!S97</f>
        <v>3781</v>
      </c>
      <c r="R95" s="68">
        <f>'SLR Raw'!T97</f>
        <v>612</v>
      </c>
      <c r="S95" s="68">
        <f>'SLR Raw'!U97</f>
        <v>4062</v>
      </c>
      <c r="T95" s="68">
        <f>'SLR Raw'!V97</f>
        <v>685</v>
      </c>
      <c r="U95" s="221">
        <f t="shared" si="6"/>
        <v>4747</v>
      </c>
      <c r="V95" s="14">
        <v>15247</v>
      </c>
      <c r="W95" s="14">
        <v>2721</v>
      </c>
      <c r="X95" s="75">
        <f>C95/'FEMA Flood Zones'!$J93</f>
        <v>0</v>
      </c>
      <c r="Y95" s="74">
        <f>D95/'FEMA Flood Zones'!$K93</f>
        <v>0</v>
      </c>
      <c r="Z95" s="74">
        <f>E95/'FEMA Flood Zones'!$J93</f>
        <v>6.5586672788089459E-5</v>
      </c>
      <c r="AA95" s="74">
        <f>F95/'FEMA Flood Zones'!$K93</f>
        <v>0</v>
      </c>
      <c r="AB95" s="74">
        <f>G95/'FEMA Flood Zones'!$J93</f>
        <v>0.12159769134911785</v>
      </c>
      <c r="AC95" s="74">
        <f>H95/'FEMA Flood Zones'!$K93</f>
        <v>8.8202866593164272E-2</v>
      </c>
      <c r="AD95" s="74">
        <f>I95/'FEMA Flood Zones'!$J93</f>
        <v>0.14632386699022759</v>
      </c>
      <c r="AE95" s="74">
        <f>J95/'FEMA Flood Zones'!$K93</f>
        <v>0.12017640573318633</v>
      </c>
      <c r="AF95" s="74">
        <f>K95/'FEMA Flood Zones'!$J93</f>
        <v>0.18692201744605497</v>
      </c>
      <c r="AG95" s="74">
        <f>L95/'FEMA Flood Zones'!$K93</f>
        <v>0.16942300624770304</v>
      </c>
      <c r="AH95" s="74">
        <f>M95/'FEMA Flood Zones'!$J93</f>
        <v>0.21184495310552895</v>
      </c>
      <c r="AI95" s="74">
        <f>N95/'FEMA Flood Zones'!$K93</f>
        <v>0.18081587651598677</v>
      </c>
      <c r="AJ95" s="74">
        <f>O95/'FEMA Flood Zones'!$J93</f>
        <v>0.22548698104545156</v>
      </c>
      <c r="AK95" s="74">
        <f>P95/'FEMA Flood Zones'!$K93</f>
        <v>0.1922087467842705</v>
      </c>
      <c r="AL95" s="74">
        <f>Q95/'FEMA Flood Zones'!$J93</f>
        <v>0.24798320981176625</v>
      </c>
      <c r="AM95" s="74">
        <f>R95/'FEMA Flood Zones'!$K93</f>
        <v>0.22491730981256891</v>
      </c>
      <c r="AN95" s="74">
        <f>S95/'FEMA Flood Zones'!$J93</f>
        <v>0.26641306486521937</v>
      </c>
      <c r="AO95" s="74">
        <f>T95/'FEMA Flood Zones'!$K93</f>
        <v>0.25174568173465639</v>
      </c>
      <c r="AP95" s="224">
        <f t="shared" si="7"/>
        <v>0.26419189670525378</v>
      </c>
      <c r="AQ95" s="4">
        <f t="shared" si="5"/>
        <v>5</v>
      </c>
      <c r="AR95" s="210">
        <f t="shared" si="8"/>
        <v>10</v>
      </c>
    </row>
    <row r="96" spans="1:44" x14ac:dyDescent="0.25">
      <c r="A96" s="2" t="s">
        <v>87</v>
      </c>
      <c r="B96" s="2" t="s">
        <v>99</v>
      </c>
      <c r="C96" s="68">
        <f>'SLR Raw'!C98</f>
        <v>28</v>
      </c>
      <c r="D96" s="68">
        <f>'SLR Raw'!D98</f>
        <v>0</v>
      </c>
      <c r="E96" s="68">
        <f>'SLR Raw'!E98</f>
        <v>487</v>
      </c>
      <c r="F96" s="68">
        <f>'SLR Raw'!F98</f>
        <v>23</v>
      </c>
      <c r="G96" s="68">
        <f>'SLR Raw'!G98</f>
        <v>524</v>
      </c>
      <c r="H96" s="68">
        <f>'SLR Raw'!H98</f>
        <v>23</v>
      </c>
      <c r="I96" s="68">
        <f>'SLR Raw'!I98</f>
        <v>579</v>
      </c>
      <c r="J96" s="68">
        <f>'SLR Raw'!J98</f>
        <v>26</v>
      </c>
      <c r="K96" s="68">
        <f>'SLR Raw'!M98</f>
        <v>710</v>
      </c>
      <c r="L96" s="68">
        <f>'SLR Raw'!N98</f>
        <v>274</v>
      </c>
      <c r="M96" s="68">
        <f>'SLR Raw'!O98</f>
        <v>717</v>
      </c>
      <c r="N96" s="68">
        <f>'SLR Raw'!P98</f>
        <v>276</v>
      </c>
      <c r="O96" s="68">
        <f>'SLR Raw'!Q98</f>
        <v>720</v>
      </c>
      <c r="P96" s="68">
        <f>'SLR Raw'!R98</f>
        <v>279</v>
      </c>
      <c r="Q96" s="68">
        <f>'SLR Raw'!S98</f>
        <v>722</v>
      </c>
      <c r="R96" s="68">
        <f>'SLR Raw'!T98</f>
        <v>280</v>
      </c>
      <c r="S96" s="68">
        <f>'SLR Raw'!U98</f>
        <v>727</v>
      </c>
      <c r="T96" s="68">
        <f>'SLR Raw'!V98</f>
        <v>282</v>
      </c>
      <c r="U96" s="221">
        <f t="shared" si="6"/>
        <v>1009</v>
      </c>
      <c r="V96" s="14">
        <v>173497</v>
      </c>
      <c r="W96" s="14">
        <v>40603</v>
      </c>
      <c r="X96" s="75">
        <f>C96/'FEMA Flood Zones'!$J94</f>
        <v>1.6138607583992808E-4</v>
      </c>
      <c r="Y96" s="74">
        <f>D96/'FEMA Flood Zones'!$K94</f>
        <v>0</v>
      </c>
      <c r="Z96" s="74">
        <f>E96/'FEMA Flood Zones'!$J94</f>
        <v>2.8069649619301773E-3</v>
      </c>
      <c r="AA96" s="74">
        <f>F96/'FEMA Flood Zones'!$K94</f>
        <v>5.6646060635913605E-4</v>
      </c>
      <c r="AB96" s="74">
        <f>G96/'FEMA Flood Zones'!$J94</f>
        <v>3.0202251335757968E-3</v>
      </c>
      <c r="AC96" s="74">
        <f>H96/'FEMA Flood Zones'!$K94</f>
        <v>5.6646060635913605E-4</v>
      </c>
      <c r="AD96" s="74">
        <f>I96/'FEMA Flood Zones'!$J94</f>
        <v>3.3372334968327982E-3</v>
      </c>
      <c r="AE96" s="74">
        <f>J96/'FEMA Flood Zones'!$K94</f>
        <v>6.4034677240597986E-4</v>
      </c>
      <c r="AF96" s="74">
        <f>K96/'FEMA Flood Zones'!$J94</f>
        <v>4.0922897802267476E-3</v>
      </c>
      <c r="AG96" s="74">
        <f>L96/'FEMA Flood Zones'!$K94</f>
        <v>6.7482698322784028E-3</v>
      </c>
      <c r="AH96" s="74">
        <f>M96/'FEMA Flood Zones'!$J94</f>
        <v>4.1326362991867295E-3</v>
      </c>
      <c r="AI96" s="74">
        <f>N96/'FEMA Flood Zones'!$K94</f>
        <v>6.7975272763096325E-3</v>
      </c>
      <c r="AJ96" s="74">
        <f>O96/'FEMA Flood Zones'!$J94</f>
        <v>4.1499276644552932E-3</v>
      </c>
      <c r="AK96" s="74">
        <f>P96/'FEMA Flood Zones'!$K94</f>
        <v>6.8714134423564759E-3</v>
      </c>
      <c r="AL96" s="74">
        <f>Q96/'FEMA Flood Zones'!$J94</f>
        <v>4.1614552413010023E-3</v>
      </c>
      <c r="AM96" s="74">
        <f>R96/'FEMA Flood Zones'!$K94</f>
        <v>6.8960421643720904E-3</v>
      </c>
      <c r="AN96" s="74">
        <f>S96/'FEMA Flood Zones'!$J94</f>
        <v>4.1902741834152751E-3</v>
      </c>
      <c r="AO96" s="74">
        <f>T96/'FEMA Flood Zones'!$K94</f>
        <v>6.9452996084033202E-3</v>
      </c>
      <c r="AP96" s="224">
        <f t="shared" si="7"/>
        <v>4.7127510509107897E-3</v>
      </c>
      <c r="AQ96" s="4">
        <f t="shared" si="5"/>
        <v>24</v>
      </c>
      <c r="AR96" s="210">
        <f t="shared" si="8"/>
        <v>49</v>
      </c>
    </row>
    <row r="97" spans="1:44" x14ac:dyDescent="0.25">
      <c r="A97" s="2" t="s">
        <v>87</v>
      </c>
      <c r="B97" s="2" t="s">
        <v>87</v>
      </c>
      <c r="C97" s="68">
        <f>'SLR Raw'!C99</f>
        <v>9</v>
      </c>
      <c r="D97" s="68">
        <f>'SLR Raw'!D99</f>
        <v>0</v>
      </c>
      <c r="E97" s="68">
        <f>'SLR Raw'!E99</f>
        <v>14</v>
      </c>
      <c r="F97" s="68">
        <f>'SLR Raw'!F99</f>
        <v>0</v>
      </c>
      <c r="G97" s="68">
        <f>'SLR Raw'!G99</f>
        <v>15</v>
      </c>
      <c r="H97" s="68">
        <f>'SLR Raw'!H99</f>
        <v>0</v>
      </c>
      <c r="I97" s="68">
        <f>'SLR Raw'!I99</f>
        <v>16</v>
      </c>
      <c r="J97" s="68">
        <f>'SLR Raw'!J99</f>
        <v>0</v>
      </c>
      <c r="K97" s="68">
        <f>'SLR Raw'!M99</f>
        <v>17</v>
      </c>
      <c r="L97" s="68">
        <f>'SLR Raw'!N99</f>
        <v>0</v>
      </c>
      <c r="M97" s="68">
        <f>'SLR Raw'!O99</f>
        <v>17</v>
      </c>
      <c r="N97" s="68">
        <f>'SLR Raw'!P99</f>
        <v>0</v>
      </c>
      <c r="O97" s="68">
        <f>'SLR Raw'!Q99</f>
        <v>18</v>
      </c>
      <c r="P97" s="68">
        <f>'SLR Raw'!R99</f>
        <v>0</v>
      </c>
      <c r="Q97" s="68">
        <f>'SLR Raw'!S99</f>
        <v>18</v>
      </c>
      <c r="R97" s="68">
        <f>'SLR Raw'!T99</f>
        <v>0</v>
      </c>
      <c r="S97" s="68">
        <f>'SLR Raw'!U99</f>
        <v>19</v>
      </c>
      <c r="T97" s="68">
        <f>'SLR Raw'!V99</f>
        <v>0</v>
      </c>
      <c r="U97" s="221">
        <f t="shared" si="6"/>
        <v>19</v>
      </c>
      <c r="V97" s="14">
        <v>18560</v>
      </c>
      <c r="W97" s="14">
        <v>7151</v>
      </c>
      <c r="X97" s="75">
        <f>C97/'FEMA Flood Zones'!$J95</f>
        <v>4.8491379310344827E-4</v>
      </c>
      <c r="Y97" s="74">
        <f>D97/'FEMA Flood Zones'!$K95</f>
        <v>0</v>
      </c>
      <c r="Z97" s="74">
        <f>E97/'FEMA Flood Zones'!$J95</f>
        <v>7.543103448275862E-4</v>
      </c>
      <c r="AA97" s="74">
        <f>F97/'FEMA Flood Zones'!$K95</f>
        <v>0</v>
      </c>
      <c r="AB97" s="74">
        <f>G97/'FEMA Flood Zones'!$J95</f>
        <v>8.0818965517241378E-4</v>
      </c>
      <c r="AC97" s="74">
        <f>H97/'FEMA Flood Zones'!$K95</f>
        <v>0</v>
      </c>
      <c r="AD97" s="74">
        <f>I97/'FEMA Flood Zones'!$J95</f>
        <v>8.6206896551724137E-4</v>
      </c>
      <c r="AE97" s="74">
        <f>J97/'FEMA Flood Zones'!$K95</f>
        <v>0</v>
      </c>
      <c r="AF97" s="74">
        <f>K97/'FEMA Flood Zones'!$J95</f>
        <v>9.1594827586206895E-4</v>
      </c>
      <c r="AG97" s="74">
        <f>L97/'FEMA Flood Zones'!$K95</f>
        <v>0</v>
      </c>
      <c r="AH97" s="74">
        <f>M97/'FEMA Flood Zones'!$J95</f>
        <v>9.1594827586206895E-4</v>
      </c>
      <c r="AI97" s="74">
        <f>N97/'FEMA Flood Zones'!$K95</f>
        <v>0</v>
      </c>
      <c r="AJ97" s="74">
        <f>O97/'FEMA Flood Zones'!$J95</f>
        <v>9.6982758620689654E-4</v>
      </c>
      <c r="AK97" s="74">
        <f>P97/'FEMA Flood Zones'!$K95</f>
        <v>0</v>
      </c>
      <c r="AL97" s="74">
        <f>Q97/'FEMA Flood Zones'!$J95</f>
        <v>9.6982758620689654E-4</v>
      </c>
      <c r="AM97" s="74">
        <f>R97/'FEMA Flood Zones'!$K95</f>
        <v>0</v>
      </c>
      <c r="AN97" s="74">
        <f>S97/'FEMA Flood Zones'!$J95</f>
        <v>1.0237068965517242E-3</v>
      </c>
      <c r="AO97" s="74">
        <f>T97/'FEMA Flood Zones'!$K95</f>
        <v>0</v>
      </c>
      <c r="AP97" s="224">
        <f t="shared" si="7"/>
        <v>7.3898331453463501E-4</v>
      </c>
      <c r="AQ97" s="4">
        <f t="shared" si="5"/>
        <v>52</v>
      </c>
      <c r="AR97" s="210">
        <f t="shared" si="8"/>
        <v>55</v>
      </c>
    </row>
    <row r="98" spans="1:44" x14ac:dyDescent="0.25">
      <c r="A98" s="2" t="s">
        <v>87</v>
      </c>
      <c r="B98" s="2" t="s">
        <v>100</v>
      </c>
      <c r="C98" s="68">
        <f>'SLR Raw'!C100</f>
        <v>0</v>
      </c>
      <c r="D98" s="68">
        <f>'SLR Raw'!D100</f>
        <v>0</v>
      </c>
      <c r="E98" s="68">
        <f>'SLR Raw'!E100</f>
        <v>0</v>
      </c>
      <c r="F98" s="68">
        <f>'SLR Raw'!F100</f>
        <v>0</v>
      </c>
      <c r="G98" s="68">
        <f>'SLR Raw'!G100</f>
        <v>0</v>
      </c>
      <c r="H98" s="68">
        <f>'SLR Raw'!H100</f>
        <v>0</v>
      </c>
      <c r="I98" s="68">
        <f>'SLR Raw'!I100</f>
        <v>0</v>
      </c>
      <c r="J98" s="68">
        <f>'SLR Raw'!J100</f>
        <v>0</v>
      </c>
      <c r="K98" s="68">
        <f>'SLR Raw'!M100</f>
        <v>0</v>
      </c>
      <c r="L98" s="68">
        <f>'SLR Raw'!N100</f>
        <v>0</v>
      </c>
      <c r="M98" s="68">
        <f>'SLR Raw'!O100</f>
        <v>0</v>
      </c>
      <c r="N98" s="68">
        <f>'SLR Raw'!P100</f>
        <v>0</v>
      </c>
      <c r="O98" s="68">
        <f>'SLR Raw'!Q100</f>
        <v>0</v>
      </c>
      <c r="P98" s="68">
        <f>'SLR Raw'!R100</f>
        <v>0</v>
      </c>
      <c r="Q98" s="68">
        <f>'SLR Raw'!S100</f>
        <v>0</v>
      </c>
      <c r="R98" s="68">
        <f>'SLR Raw'!T100</f>
        <v>0</v>
      </c>
      <c r="S98" s="68">
        <f>'SLR Raw'!U100</f>
        <v>0</v>
      </c>
      <c r="T98" s="68">
        <f>'SLR Raw'!V100</f>
        <v>0</v>
      </c>
      <c r="U98" s="221">
        <f t="shared" si="6"/>
        <v>0</v>
      </c>
      <c r="V98" s="14">
        <v>9932</v>
      </c>
      <c r="W98" s="14">
        <v>658</v>
      </c>
      <c r="X98" s="75">
        <f>C98/'FEMA Flood Zones'!$J96</f>
        <v>0</v>
      </c>
      <c r="Y98" s="74">
        <f>D98/'FEMA Flood Zones'!$K96</f>
        <v>0</v>
      </c>
      <c r="Z98" s="74">
        <f>E98/'FEMA Flood Zones'!$J96</f>
        <v>0</v>
      </c>
      <c r="AA98" s="74">
        <f>F98/'FEMA Flood Zones'!$K96</f>
        <v>0</v>
      </c>
      <c r="AB98" s="74">
        <f>G98/'FEMA Flood Zones'!$J96</f>
        <v>0</v>
      </c>
      <c r="AC98" s="74">
        <f>H98/'FEMA Flood Zones'!$K96</f>
        <v>0</v>
      </c>
      <c r="AD98" s="74">
        <f>I98/'FEMA Flood Zones'!$J96</f>
        <v>0</v>
      </c>
      <c r="AE98" s="74">
        <f>J98/'FEMA Flood Zones'!$K96</f>
        <v>0</v>
      </c>
      <c r="AF98" s="74">
        <f>K98/'FEMA Flood Zones'!$J96</f>
        <v>0</v>
      </c>
      <c r="AG98" s="74">
        <f>L98/'FEMA Flood Zones'!$K96</f>
        <v>0</v>
      </c>
      <c r="AH98" s="74">
        <f>M98/'FEMA Flood Zones'!$J96</f>
        <v>0</v>
      </c>
      <c r="AI98" s="74">
        <f>N98/'FEMA Flood Zones'!$K96</f>
        <v>0</v>
      </c>
      <c r="AJ98" s="74">
        <f>O98/'FEMA Flood Zones'!$J96</f>
        <v>0</v>
      </c>
      <c r="AK98" s="74">
        <f>P98/'FEMA Flood Zones'!$K96</f>
        <v>0</v>
      </c>
      <c r="AL98" s="74">
        <f>Q98/'FEMA Flood Zones'!$J96</f>
        <v>0</v>
      </c>
      <c r="AM98" s="74">
        <f>R98/'FEMA Flood Zones'!$K96</f>
        <v>0</v>
      </c>
      <c r="AN98" s="74">
        <f>S98/'FEMA Flood Zones'!$J96</f>
        <v>0</v>
      </c>
      <c r="AO98" s="74">
        <f>T98/'FEMA Flood Zones'!$K96</f>
        <v>0</v>
      </c>
      <c r="AP98" s="224">
        <f t="shared" si="7"/>
        <v>0</v>
      </c>
      <c r="AQ98" s="4">
        <f t="shared" si="5"/>
        <v>60</v>
      </c>
      <c r="AR98" s="210">
        <f t="shared" si="8"/>
        <v>60</v>
      </c>
    </row>
    <row r="99" spans="1:44" x14ac:dyDescent="0.25">
      <c r="A99" s="2" t="s">
        <v>87</v>
      </c>
      <c r="B99" s="2" t="s">
        <v>101</v>
      </c>
      <c r="C99" s="68">
        <f>'SLR Raw'!C101</f>
        <v>3</v>
      </c>
      <c r="D99" s="68">
        <f>'SLR Raw'!D101</f>
        <v>0</v>
      </c>
      <c r="E99" s="68">
        <f>'SLR Raw'!E101</f>
        <v>8</v>
      </c>
      <c r="F99" s="68">
        <f>'SLR Raw'!F101</f>
        <v>0</v>
      </c>
      <c r="G99" s="68">
        <f>'SLR Raw'!G101</f>
        <v>11</v>
      </c>
      <c r="H99" s="68">
        <f>'SLR Raw'!H101</f>
        <v>0</v>
      </c>
      <c r="I99" s="68">
        <f>'SLR Raw'!I101</f>
        <v>19</v>
      </c>
      <c r="J99" s="68">
        <f>'SLR Raw'!J101</f>
        <v>3</v>
      </c>
      <c r="K99" s="68">
        <f>'SLR Raw'!M101</f>
        <v>21</v>
      </c>
      <c r="L99" s="68">
        <f>'SLR Raw'!N101</f>
        <v>25</v>
      </c>
      <c r="M99" s="68">
        <f>'SLR Raw'!O101</f>
        <v>24</v>
      </c>
      <c r="N99" s="68">
        <f>'SLR Raw'!P101</f>
        <v>103</v>
      </c>
      <c r="O99" s="68">
        <f>'SLR Raw'!Q101</f>
        <v>27</v>
      </c>
      <c r="P99" s="68">
        <f>'SLR Raw'!R101</f>
        <v>141</v>
      </c>
      <c r="Q99" s="68">
        <f>'SLR Raw'!S101</f>
        <v>29</v>
      </c>
      <c r="R99" s="68">
        <f>'SLR Raw'!T101</f>
        <v>181</v>
      </c>
      <c r="S99" s="70">
        <f>'SLR Raw'!U101</f>
        <v>119</v>
      </c>
      <c r="T99" s="70">
        <f>'SLR Raw'!V101</f>
        <v>217</v>
      </c>
      <c r="U99" s="221">
        <f t="shared" si="6"/>
        <v>336</v>
      </c>
      <c r="V99" s="14">
        <v>21486</v>
      </c>
      <c r="W99" s="14">
        <v>7995</v>
      </c>
      <c r="X99" s="75">
        <f>C99/'FEMA Flood Zones'!$J97</f>
        <v>1.3962580284836637E-4</v>
      </c>
      <c r="Y99" s="74">
        <f>D99/'FEMA Flood Zones'!$K97</f>
        <v>0</v>
      </c>
      <c r="Z99" s="74">
        <f>E99/'FEMA Flood Zones'!$J97</f>
        <v>3.7233547426231036E-4</v>
      </c>
      <c r="AA99" s="74">
        <f>F99/'FEMA Flood Zones'!$K97</f>
        <v>0</v>
      </c>
      <c r="AB99" s="74">
        <f>G99/'FEMA Flood Zones'!$J97</f>
        <v>5.1196127711067676E-4</v>
      </c>
      <c r="AC99" s="74">
        <f>H99/'FEMA Flood Zones'!$K97</f>
        <v>0</v>
      </c>
      <c r="AD99" s="74">
        <f>I99/'FEMA Flood Zones'!$J97</f>
        <v>8.8429675137298707E-4</v>
      </c>
      <c r="AE99" s="74">
        <f>J99/'FEMA Flood Zones'!$K97</f>
        <v>3.7523452157598499E-4</v>
      </c>
      <c r="AF99" s="74">
        <f>K99/'FEMA Flood Zones'!$J97</f>
        <v>9.7738061993856459E-4</v>
      </c>
      <c r="AG99" s="74">
        <f>L99/'FEMA Flood Zones'!$K97</f>
        <v>3.1269543464665416E-3</v>
      </c>
      <c r="AH99" s="74">
        <f>M99/'FEMA Flood Zones'!$J97</f>
        <v>1.1170064227869309E-3</v>
      </c>
      <c r="AI99" s="74">
        <f>N99/'FEMA Flood Zones'!$K97</f>
        <v>1.2883051907442152E-2</v>
      </c>
      <c r="AJ99" s="74">
        <f>O99/'FEMA Flood Zones'!$J97</f>
        <v>1.2566322256352975E-3</v>
      </c>
      <c r="AK99" s="74">
        <f>P99/'FEMA Flood Zones'!$K97</f>
        <v>1.7636022514071294E-2</v>
      </c>
      <c r="AL99" s="74">
        <f>Q99/'FEMA Flood Zones'!$J97</f>
        <v>1.3497160942008749E-3</v>
      </c>
      <c r="AM99" s="74">
        <f>R99/'FEMA Flood Zones'!$K97</f>
        <v>2.263914946841776E-2</v>
      </c>
      <c r="AN99" s="74">
        <f>S99/'FEMA Flood Zones'!$J97</f>
        <v>5.5384901796518664E-3</v>
      </c>
      <c r="AO99" s="74">
        <f>T99/'FEMA Flood Zones'!$K97</f>
        <v>2.714196372732958E-2</v>
      </c>
      <c r="AP99" s="224">
        <f t="shared" si="7"/>
        <v>1.1397171059326345E-2</v>
      </c>
      <c r="AQ99" s="4">
        <f t="shared" si="5"/>
        <v>43</v>
      </c>
      <c r="AR99" s="210">
        <f t="shared" si="8"/>
        <v>45</v>
      </c>
    </row>
    <row r="100" spans="1:44" x14ac:dyDescent="0.25">
      <c r="A100" s="15" t="s">
        <v>87</v>
      </c>
      <c r="B100" s="15" t="s">
        <v>102</v>
      </c>
      <c r="C100" s="69">
        <f>'SLR Raw'!C102</f>
        <v>1</v>
      </c>
      <c r="D100" s="69">
        <f>'SLR Raw'!D102</f>
        <v>0</v>
      </c>
      <c r="E100" s="69">
        <f>'SLR Raw'!E102</f>
        <v>4</v>
      </c>
      <c r="F100" s="69">
        <f>'SLR Raw'!F102</f>
        <v>0</v>
      </c>
      <c r="G100" s="69">
        <f>'SLR Raw'!G102</f>
        <v>4</v>
      </c>
      <c r="H100" s="69">
        <f>'SLR Raw'!H102</f>
        <v>0</v>
      </c>
      <c r="I100" s="69">
        <f>'SLR Raw'!I102</f>
        <v>4</v>
      </c>
      <c r="J100" s="69">
        <f>'SLR Raw'!J102</f>
        <v>0</v>
      </c>
      <c r="K100" s="69">
        <f>'SLR Raw'!M102</f>
        <v>4</v>
      </c>
      <c r="L100" s="69">
        <f>'SLR Raw'!N102</f>
        <v>0</v>
      </c>
      <c r="M100" s="69">
        <f>'SLR Raw'!O102</f>
        <v>5</v>
      </c>
      <c r="N100" s="69">
        <f>'SLR Raw'!P102</f>
        <v>0</v>
      </c>
      <c r="O100" s="69">
        <f>'SLR Raw'!Q102</f>
        <v>5</v>
      </c>
      <c r="P100" s="69">
        <f>'SLR Raw'!R102</f>
        <v>0</v>
      </c>
      <c r="Q100" s="69">
        <f>'SLR Raw'!S102</f>
        <v>5</v>
      </c>
      <c r="R100" s="69">
        <f>'SLR Raw'!T102</f>
        <v>0</v>
      </c>
      <c r="S100" s="69">
        <f>'SLR Raw'!U102</f>
        <v>5</v>
      </c>
      <c r="T100" s="69">
        <f>'SLR Raw'!V102</f>
        <v>0</v>
      </c>
      <c r="U100" s="222">
        <f t="shared" si="6"/>
        <v>5</v>
      </c>
      <c r="V100" s="18">
        <v>19393</v>
      </c>
      <c r="W100" s="18">
        <v>424</v>
      </c>
      <c r="X100" s="76">
        <f>C100/'FEMA Flood Zones'!$J98</f>
        <v>5.1564997679575106E-5</v>
      </c>
      <c r="Y100" s="73">
        <f>D100/'FEMA Flood Zones'!$K98</f>
        <v>0</v>
      </c>
      <c r="Z100" s="73">
        <f>E100/'FEMA Flood Zones'!$J98</f>
        <v>2.0625999071830043E-4</v>
      </c>
      <c r="AA100" s="73">
        <f>F100/'FEMA Flood Zones'!$K98</f>
        <v>0</v>
      </c>
      <c r="AB100" s="73">
        <f>G100/'FEMA Flood Zones'!$J98</f>
        <v>2.0625999071830043E-4</v>
      </c>
      <c r="AC100" s="73">
        <f>H100/'FEMA Flood Zones'!$K98</f>
        <v>0</v>
      </c>
      <c r="AD100" s="73">
        <f>I100/'FEMA Flood Zones'!$J98</f>
        <v>2.0625999071830043E-4</v>
      </c>
      <c r="AE100" s="73">
        <f>J100/'FEMA Flood Zones'!$K98</f>
        <v>0</v>
      </c>
      <c r="AF100" s="73">
        <f>K100/'FEMA Flood Zones'!$J98</f>
        <v>2.0625999071830043E-4</v>
      </c>
      <c r="AG100" s="73">
        <f>L100/'FEMA Flood Zones'!$K98</f>
        <v>0</v>
      </c>
      <c r="AH100" s="73">
        <f>M100/'FEMA Flood Zones'!$J98</f>
        <v>2.5782498839787551E-4</v>
      </c>
      <c r="AI100" s="73">
        <f>N100/'FEMA Flood Zones'!$K98</f>
        <v>0</v>
      </c>
      <c r="AJ100" s="73">
        <f>O100/'FEMA Flood Zones'!$J98</f>
        <v>2.5782498839787551E-4</v>
      </c>
      <c r="AK100" s="73">
        <f>P100/'FEMA Flood Zones'!$K98</f>
        <v>0</v>
      </c>
      <c r="AL100" s="73">
        <f>Q100/'FEMA Flood Zones'!$J98</f>
        <v>2.5782498839787551E-4</v>
      </c>
      <c r="AM100" s="73">
        <f>R100/'FEMA Flood Zones'!$K98</f>
        <v>0</v>
      </c>
      <c r="AN100" s="73">
        <f>S100/'FEMA Flood Zones'!$J98</f>
        <v>2.5782498839787551E-4</v>
      </c>
      <c r="AO100" s="73">
        <f>T100/'FEMA Flood Zones'!$K98</f>
        <v>0</v>
      </c>
      <c r="AP100" s="225">
        <f t="shared" si="7"/>
        <v>2.5230862390876523E-4</v>
      </c>
      <c r="AQ100" s="164">
        <f t="shared" si="5"/>
        <v>55</v>
      </c>
      <c r="AR100" s="211">
        <f t="shared" si="8"/>
        <v>59</v>
      </c>
    </row>
    <row r="101" spans="1:44" x14ac:dyDescent="0.25">
      <c r="A101" s="2" t="s">
        <v>103</v>
      </c>
      <c r="B101" s="2" t="s">
        <v>104</v>
      </c>
      <c r="C101" s="68">
        <f>'SLR Raw'!C103</f>
        <v>19</v>
      </c>
      <c r="D101" s="68">
        <f>'SLR Raw'!D103</f>
        <v>1</v>
      </c>
      <c r="E101" s="68">
        <f>'SLR Raw'!E103</f>
        <v>22</v>
      </c>
      <c r="F101" s="68">
        <f>'SLR Raw'!F103</f>
        <v>1</v>
      </c>
      <c r="G101" s="68">
        <f>'SLR Raw'!G103</f>
        <v>25</v>
      </c>
      <c r="H101" s="68">
        <f>'SLR Raw'!H103</f>
        <v>17</v>
      </c>
      <c r="I101" s="68">
        <f>'SLR Raw'!I103</f>
        <v>83</v>
      </c>
      <c r="J101" s="68">
        <f>'SLR Raw'!J103</f>
        <v>63</v>
      </c>
      <c r="K101" s="68">
        <f>'SLR Raw'!M103</f>
        <v>100</v>
      </c>
      <c r="L101" s="68">
        <f>'SLR Raw'!N103</f>
        <v>128</v>
      </c>
      <c r="M101" s="68">
        <f>'SLR Raw'!O103</f>
        <v>114</v>
      </c>
      <c r="N101" s="68">
        <f>'SLR Raw'!P103</f>
        <v>170</v>
      </c>
      <c r="O101" s="68">
        <f>'SLR Raw'!Q103</f>
        <v>121</v>
      </c>
      <c r="P101" s="68">
        <f>'SLR Raw'!R103</f>
        <v>253</v>
      </c>
      <c r="Q101" s="68">
        <f>'SLR Raw'!S103</f>
        <v>130</v>
      </c>
      <c r="R101" s="68">
        <f>'SLR Raw'!T103</f>
        <v>284</v>
      </c>
      <c r="S101" s="68">
        <f>'SLR Raw'!U103</f>
        <v>143</v>
      </c>
      <c r="T101" s="68">
        <f>'SLR Raw'!V103</f>
        <v>299</v>
      </c>
      <c r="U101" s="221">
        <f t="shared" si="6"/>
        <v>442</v>
      </c>
      <c r="V101" s="14">
        <v>7351</v>
      </c>
      <c r="W101" s="14">
        <v>2026</v>
      </c>
      <c r="X101" s="75">
        <f>C101/'FEMA Flood Zones'!$J99</f>
        <v>2.5846823561420213E-3</v>
      </c>
      <c r="Y101" s="74">
        <f>D101/'FEMA Flood Zones'!$K99</f>
        <v>4.935834155972359E-4</v>
      </c>
      <c r="Z101" s="74">
        <f>E101/'FEMA Flood Zones'!$J99</f>
        <v>2.9927900965854987E-3</v>
      </c>
      <c r="AA101" s="74">
        <f>F101/'FEMA Flood Zones'!$K99</f>
        <v>4.935834155972359E-4</v>
      </c>
      <c r="AB101" s="74">
        <f>G101/'FEMA Flood Zones'!$J99</f>
        <v>3.4008978370289756E-3</v>
      </c>
      <c r="AC101" s="74">
        <f>H101/'FEMA Flood Zones'!$K99</f>
        <v>8.3909180651530104E-3</v>
      </c>
      <c r="AD101" s="74">
        <f>I101/'FEMA Flood Zones'!$J99</f>
        <v>1.1290980818936199E-2</v>
      </c>
      <c r="AE101" s="74">
        <f>J101/'FEMA Flood Zones'!$K99</f>
        <v>3.1095755182625865E-2</v>
      </c>
      <c r="AF101" s="74">
        <f>K101/'FEMA Flood Zones'!$J99</f>
        <v>1.3603591348115902E-2</v>
      </c>
      <c r="AG101" s="74">
        <f>L101/'FEMA Flood Zones'!$K99</f>
        <v>6.3178677196446195E-2</v>
      </c>
      <c r="AH101" s="74">
        <f>M101/'FEMA Flood Zones'!$J99</f>
        <v>1.5508094136852129E-2</v>
      </c>
      <c r="AI101" s="74">
        <f>N101/'FEMA Flood Zones'!$K99</f>
        <v>8.3909180651530108E-2</v>
      </c>
      <c r="AJ101" s="74">
        <f>O101/'FEMA Flood Zones'!$J99</f>
        <v>1.6460345531220243E-2</v>
      </c>
      <c r="AK101" s="74">
        <f>P101/'FEMA Flood Zones'!$K99</f>
        <v>0.12487660414610069</v>
      </c>
      <c r="AL101" s="74">
        <f>Q101/'FEMA Flood Zones'!$J99</f>
        <v>1.7684668752550672E-2</v>
      </c>
      <c r="AM101" s="74">
        <f>R101/'FEMA Flood Zones'!$K99</f>
        <v>0.140177690029615</v>
      </c>
      <c r="AN101" s="74">
        <f>S101/'FEMA Flood Zones'!$J99</f>
        <v>1.9453135627805741E-2</v>
      </c>
      <c r="AO101" s="74">
        <f>T101/'FEMA Flood Zones'!$K99</f>
        <v>0.14758144126357353</v>
      </c>
      <c r="AP101" s="224">
        <f t="shared" si="7"/>
        <v>4.7136610856350646E-2</v>
      </c>
      <c r="AQ101" s="4">
        <f t="shared" si="5"/>
        <v>42</v>
      </c>
      <c r="AR101" s="210">
        <f t="shared" si="8"/>
        <v>34</v>
      </c>
    </row>
    <row r="102" spans="1:44" x14ac:dyDescent="0.25">
      <c r="A102" s="2" t="s">
        <v>103</v>
      </c>
      <c r="B102" s="2" t="s">
        <v>105</v>
      </c>
      <c r="C102" s="68">
        <f>'SLR Raw'!C104</f>
        <v>0</v>
      </c>
      <c r="D102" s="68">
        <f>'SLR Raw'!D104</f>
        <v>0</v>
      </c>
      <c r="E102" s="68">
        <f>'SLR Raw'!E104</f>
        <v>0</v>
      </c>
      <c r="F102" s="68">
        <f>'SLR Raw'!F104</f>
        <v>0</v>
      </c>
      <c r="G102" s="68">
        <f>'SLR Raw'!G104</f>
        <v>0</v>
      </c>
      <c r="H102" s="68">
        <f>'SLR Raw'!H104</f>
        <v>0</v>
      </c>
      <c r="I102" s="68">
        <f>'SLR Raw'!I104</f>
        <v>0</v>
      </c>
      <c r="J102" s="68">
        <f>'SLR Raw'!J104</f>
        <v>0</v>
      </c>
      <c r="K102" s="68">
        <f>'SLR Raw'!M104</f>
        <v>0</v>
      </c>
      <c r="L102" s="68">
        <f>'SLR Raw'!N104</f>
        <v>0</v>
      </c>
      <c r="M102" s="68">
        <f>'SLR Raw'!O104</f>
        <v>0</v>
      </c>
      <c r="N102" s="68">
        <f>'SLR Raw'!P104</f>
        <v>0</v>
      </c>
      <c r="O102" s="68">
        <f>'SLR Raw'!Q104</f>
        <v>0</v>
      </c>
      <c r="P102" s="68">
        <f>'SLR Raw'!R104</f>
        <v>0</v>
      </c>
      <c r="Q102" s="68">
        <f>'SLR Raw'!S104</f>
        <v>0</v>
      </c>
      <c r="R102" s="68">
        <f>'SLR Raw'!T104</f>
        <v>0</v>
      </c>
      <c r="S102" s="68">
        <f>'SLR Raw'!U104</f>
        <v>0</v>
      </c>
      <c r="T102" s="68">
        <f>'SLR Raw'!V104</f>
        <v>0</v>
      </c>
      <c r="U102" s="221">
        <f t="shared" si="6"/>
        <v>0</v>
      </c>
      <c r="V102" s="14">
        <v>5110</v>
      </c>
      <c r="W102" s="14">
        <v>257</v>
      </c>
      <c r="X102" s="75">
        <f>C102/'FEMA Flood Zones'!$J100</f>
        <v>0</v>
      </c>
      <c r="Y102" s="74">
        <f>D102/'FEMA Flood Zones'!$K100</f>
        <v>0</v>
      </c>
      <c r="Z102" s="74">
        <f>E102/'FEMA Flood Zones'!$J100</f>
        <v>0</v>
      </c>
      <c r="AA102" s="74">
        <f>F102/'FEMA Flood Zones'!$K100</f>
        <v>0</v>
      </c>
      <c r="AB102" s="74">
        <f>G102/'FEMA Flood Zones'!$J100</f>
        <v>0</v>
      </c>
      <c r="AC102" s="74">
        <f>H102/'FEMA Flood Zones'!$K100</f>
        <v>0</v>
      </c>
      <c r="AD102" s="74">
        <f>I102/'FEMA Flood Zones'!$J100</f>
        <v>0</v>
      </c>
      <c r="AE102" s="74">
        <f>J102/'FEMA Flood Zones'!$K100</f>
        <v>0</v>
      </c>
      <c r="AF102" s="74">
        <f>K102/'FEMA Flood Zones'!$J100</f>
        <v>0</v>
      </c>
      <c r="AG102" s="74">
        <f>L102/'FEMA Flood Zones'!$K100</f>
        <v>0</v>
      </c>
      <c r="AH102" s="74">
        <f>M102/'FEMA Flood Zones'!$J100</f>
        <v>0</v>
      </c>
      <c r="AI102" s="74">
        <f>N102/'FEMA Flood Zones'!$K100</f>
        <v>0</v>
      </c>
      <c r="AJ102" s="74">
        <f>O102/'FEMA Flood Zones'!$J100</f>
        <v>0</v>
      </c>
      <c r="AK102" s="74">
        <f>P102/'FEMA Flood Zones'!$K100</f>
        <v>0</v>
      </c>
      <c r="AL102" s="74">
        <f>Q102/'FEMA Flood Zones'!$J100</f>
        <v>0</v>
      </c>
      <c r="AM102" s="74">
        <f>R102/'FEMA Flood Zones'!$K100</f>
        <v>0</v>
      </c>
      <c r="AN102" s="74">
        <f>S102/'FEMA Flood Zones'!$J100</f>
        <v>0</v>
      </c>
      <c r="AO102" s="74">
        <f>T102/'FEMA Flood Zones'!$K100</f>
        <v>0</v>
      </c>
      <c r="AP102" s="224">
        <f t="shared" si="7"/>
        <v>0</v>
      </c>
      <c r="AQ102" s="4">
        <f t="shared" si="5"/>
        <v>60</v>
      </c>
      <c r="AR102" s="210">
        <f t="shared" si="8"/>
        <v>60</v>
      </c>
    </row>
    <row r="103" spans="1:44" x14ac:dyDescent="0.25">
      <c r="A103" s="2" t="s">
        <v>103</v>
      </c>
      <c r="B103" s="2" t="s">
        <v>106</v>
      </c>
      <c r="C103" s="68">
        <f>'SLR Raw'!C105</f>
        <v>0</v>
      </c>
      <c r="D103" s="68">
        <f>'SLR Raw'!D105</f>
        <v>0</v>
      </c>
      <c r="E103" s="68">
        <f>'SLR Raw'!E105</f>
        <v>0</v>
      </c>
      <c r="F103" s="68">
        <f>'SLR Raw'!F105</f>
        <v>0</v>
      </c>
      <c r="G103" s="68">
        <f>'SLR Raw'!G105</f>
        <v>0</v>
      </c>
      <c r="H103" s="68">
        <f>'SLR Raw'!H105</f>
        <v>0</v>
      </c>
      <c r="I103" s="68">
        <f>'SLR Raw'!I105</f>
        <v>0</v>
      </c>
      <c r="J103" s="68">
        <f>'SLR Raw'!J105</f>
        <v>0</v>
      </c>
      <c r="K103" s="68">
        <f>'SLR Raw'!M105</f>
        <v>83</v>
      </c>
      <c r="L103" s="68">
        <f>'SLR Raw'!N105</f>
        <v>25</v>
      </c>
      <c r="M103" s="68">
        <f>'SLR Raw'!O105</f>
        <v>172</v>
      </c>
      <c r="N103" s="68">
        <f>'SLR Raw'!P105</f>
        <v>43</v>
      </c>
      <c r="O103" s="68">
        <f>'SLR Raw'!Q105</f>
        <v>225</v>
      </c>
      <c r="P103" s="68">
        <f>'SLR Raw'!R105</f>
        <v>77</v>
      </c>
      <c r="Q103" s="68">
        <f>'SLR Raw'!S105</f>
        <v>345</v>
      </c>
      <c r="R103" s="68">
        <f>'SLR Raw'!T105</f>
        <v>100</v>
      </c>
      <c r="S103" s="68">
        <f>'SLR Raw'!U105</f>
        <v>491</v>
      </c>
      <c r="T103" s="68">
        <f>'SLR Raw'!V105</f>
        <v>110</v>
      </c>
      <c r="U103" s="221">
        <f t="shared" si="6"/>
        <v>601</v>
      </c>
      <c r="V103" s="14">
        <v>27746</v>
      </c>
      <c r="W103" s="14">
        <v>2232</v>
      </c>
      <c r="X103" s="75">
        <f>C103/'FEMA Flood Zones'!$J101</f>
        <v>0</v>
      </c>
      <c r="Y103" s="74">
        <f>D103/'FEMA Flood Zones'!$K101</f>
        <v>0</v>
      </c>
      <c r="Z103" s="74">
        <f>E103/'FEMA Flood Zones'!$J101</f>
        <v>0</v>
      </c>
      <c r="AA103" s="74">
        <f>F103/'FEMA Flood Zones'!$K101</f>
        <v>0</v>
      </c>
      <c r="AB103" s="74">
        <f>G103/'FEMA Flood Zones'!$J101</f>
        <v>0</v>
      </c>
      <c r="AC103" s="74">
        <f>H103/'FEMA Flood Zones'!$K101</f>
        <v>0</v>
      </c>
      <c r="AD103" s="74">
        <f>I103/'FEMA Flood Zones'!$J101</f>
        <v>0</v>
      </c>
      <c r="AE103" s="74">
        <f>J103/'FEMA Flood Zones'!$K101</f>
        <v>0</v>
      </c>
      <c r="AF103" s="74">
        <f>K103/'FEMA Flood Zones'!$J101</f>
        <v>2.9914221869819075E-3</v>
      </c>
      <c r="AG103" s="74">
        <f>L103/'FEMA Flood Zones'!$K101</f>
        <v>1.1200716845878136E-2</v>
      </c>
      <c r="AH103" s="74">
        <f>M103/'FEMA Flood Zones'!$J101</f>
        <v>6.1990917609745545E-3</v>
      </c>
      <c r="AI103" s="74">
        <f>N103/'FEMA Flood Zones'!$K101</f>
        <v>1.9265232974910396E-2</v>
      </c>
      <c r="AJ103" s="74">
        <f>O103/'FEMA Flood Zones'!$J101</f>
        <v>8.1092770129027603E-3</v>
      </c>
      <c r="AK103" s="74">
        <f>P103/'FEMA Flood Zones'!$K101</f>
        <v>3.4498207885304659E-2</v>
      </c>
      <c r="AL103" s="74">
        <f>Q103/'FEMA Flood Zones'!$J101</f>
        <v>1.2434224753117567E-2</v>
      </c>
      <c r="AM103" s="74">
        <f>R103/'FEMA Flood Zones'!$K101</f>
        <v>4.4802867383512544E-2</v>
      </c>
      <c r="AN103" s="74">
        <f>S103/'FEMA Flood Zones'!$J101</f>
        <v>1.7696244503712245E-2</v>
      </c>
      <c r="AO103" s="74">
        <f>T103/'FEMA Flood Zones'!$K101</f>
        <v>4.9283154121863799E-2</v>
      </c>
      <c r="AP103" s="224">
        <f t="shared" si="7"/>
        <v>2.0048035225832279E-2</v>
      </c>
      <c r="AQ103" s="4">
        <f t="shared" si="5"/>
        <v>30</v>
      </c>
      <c r="AR103" s="210">
        <f t="shared" si="8"/>
        <v>37</v>
      </c>
    </row>
    <row r="104" spans="1:44" x14ac:dyDescent="0.25">
      <c r="A104" s="2" t="s">
        <v>103</v>
      </c>
      <c r="B104" s="2" t="s">
        <v>107</v>
      </c>
      <c r="C104" s="68">
        <f>'SLR Raw'!C106</f>
        <v>0</v>
      </c>
      <c r="D104" s="68">
        <f>'SLR Raw'!D106</f>
        <v>0</v>
      </c>
      <c r="E104" s="68">
        <f>'SLR Raw'!E106</f>
        <v>0</v>
      </c>
      <c r="F104" s="68">
        <f>'SLR Raw'!F106</f>
        <v>0</v>
      </c>
      <c r="G104" s="68">
        <f>'SLR Raw'!G106</f>
        <v>0</v>
      </c>
      <c r="H104" s="68">
        <f>'SLR Raw'!H106</f>
        <v>0</v>
      </c>
      <c r="I104" s="68">
        <f>'SLR Raw'!I106</f>
        <v>0</v>
      </c>
      <c r="J104" s="68">
        <f>'SLR Raw'!J106</f>
        <v>0</v>
      </c>
      <c r="K104" s="68">
        <f>'SLR Raw'!M106</f>
        <v>0</v>
      </c>
      <c r="L104" s="68">
        <f>'SLR Raw'!N106</f>
        <v>0</v>
      </c>
      <c r="M104" s="68">
        <f>'SLR Raw'!O106</f>
        <v>0</v>
      </c>
      <c r="N104" s="68">
        <f>'SLR Raw'!P106</f>
        <v>0</v>
      </c>
      <c r="O104" s="68">
        <f>'SLR Raw'!Q106</f>
        <v>0</v>
      </c>
      <c r="P104" s="68">
        <f>'SLR Raw'!R106</f>
        <v>0</v>
      </c>
      <c r="Q104" s="68">
        <f>'SLR Raw'!S106</f>
        <v>0</v>
      </c>
      <c r="R104" s="68">
        <f>'SLR Raw'!T106</f>
        <v>0</v>
      </c>
      <c r="S104" s="68">
        <f>'SLR Raw'!U106</f>
        <v>0</v>
      </c>
      <c r="T104" s="68">
        <f>'SLR Raw'!V106</f>
        <v>0</v>
      </c>
      <c r="U104" s="221">
        <f t="shared" si="6"/>
        <v>0</v>
      </c>
      <c r="V104" s="14">
        <v>4504</v>
      </c>
      <c r="W104" s="14">
        <v>117</v>
      </c>
      <c r="X104" s="75">
        <f>C104/'FEMA Flood Zones'!$J102</f>
        <v>0</v>
      </c>
      <c r="Y104" s="74">
        <f>D104/'FEMA Flood Zones'!$K102</f>
        <v>0</v>
      </c>
      <c r="Z104" s="74">
        <f>E104/'FEMA Flood Zones'!$J102</f>
        <v>0</v>
      </c>
      <c r="AA104" s="74">
        <f>F104/'FEMA Flood Zones'!$K102</f>
        <v>0</v>
      </c>
      <c r="AB104" s="74">
        <f>G104/'FEMA Flood Zones'!$J102</f>
        <v>0</v>
      </c>
      <c r="AC104" s="74">
        <f>H104/'FEMA Flood Zones'!$K102</f>
        <v>0</v>
      </c>
      <c r="AD104" s="74">
        <f>I104/'FEMA Flood Zones'!$J102</f>
        <v>0</v>
      </c>
      <c r="AE104" s="74">
        <f>J104/'FEMA Flood Zones'!$K102</f>
        <v>0</v>
      </c>
      <c r="AF104" s="74">
        <f>K104/'FEMA Flood Zones'!$J102</f>
        <v>0</v>
      </c>
      <c r="AG104" s="74">
        <f>L104/'FEMA Flood Zones'!$K102</f>
        <v>0</v>
      </c>
      <c r="AH104" s="74">
        <f>M104/'FEMA Flood Zones'!$J102</f>
        <v>0</v>
      </c>
      <c r="AI104" s="74">
        <f>N104/'FEMA Flood Zones'!$K102</f>
        <v>0</v>
      </c>
      <c r="AJ104" s="74">
        <f>O104/'FEMA Flood Zones'!$J102</f>
        <v>0</v>
      </c>
      <c r="AK104" s="74">
        <f>P104/'FEMA Flood Zones'!$K102</f>
        <v>0</v>
      </c>
      <c r="AL104" s="74">
        <f>Q104/'FEMA Flood Zones'!$J102</f>
        <v>0</v>
      </c>
      <c r="AM104" s="74">
        <f>R104/'FEMA Flood Zones'!$K102</f>
        <v>0</v>
      </c>
      <c r="AN104" s="74">
        <f>S104/'FEMA Flood Zones'!$J102</f>
        <v>0</v>
      </c>
      <c r="AO104" s="74">
        <f>T104/'FEMA Flood Zones'!$K102</f>
        <v>0</v>
      </c>
      <c r="AP104" s="224">
        <f t="shared" si="7"/>
        <v>0</v>
      </c>
      <c r="AQ104" s="4">
        <f t="shared" si="5"/>
        <v>60</v>
      </c>
      <c r="AR104" s="210">
        <f t="shared" si="8"/>
        <v>60</v>
      </c>
    </row>
    <row r="105" spans="1:44" x14ac:dyDescent="0.25">
      <c r="A105" s="2" t="s">
        <v>103</v>
      </c>
      <c r="B105" s="2" t="s">
        <v>108</v>
      </c>
      <c r="C105" s="68">
        <f>'SLR Raw'!C107</f>
        <v>5</v>
      </c>
      <c r="D105" s="68">
        <f>'SLR Raw'!D107</f>
        <v>0</v>
      </c>
      <c r="E105" s="68">
        <f>'SLR Raw'!E107</f>
        <v>355</v>
      </c>
      <c r="F105" s="68">
        <f>'SLR Raw'!F107</f>
        <v>14</v>
      </c>
      <c r="G105" s="68">
        <f>'SLR Raw'!G107</f>
        <v>461</v>
      </c>
      <c r="H105" s="68">
        <f>'SLR Raw'!H107</f>
        <v>25</v>
      </c>
      <c r="I105" s="68">
        <f>'SLR Raw'!I107</f>
        <v>589</v>
      </c>
      <c r="J105" s="68">
        <f>'SLR Raw'!J107</f>
        <v>42</v>
      </c>
      <c r="K105" s="68">
        <f>'SLR Raw'!M107</f>
        <v>706</v>
      </c>
      <c r="L105" s="68">
        <f>'SLR Raw'!N107</f>
        <v>54</v>
      </c>
      <c r="M105" s="68">
        <f>'SLR Raw'!O107</f>
        <v>846</v>
      </c>
      <c r="N105" s="68">
        <f>'SLR Raw'!P107</f>
        <v>59</v>
      </c>
      <c r="O105" s="68">
        <f>'SLR Raw'!Q107</f>
        <v>925</v>
      </c>
      <c r="P105" s="68">
        <f>'SLR Raw'!R107</f>
        <v>61</v>
      </c>
      <c r="Q105" s="68">
        <f>'SLR Raw'!S107</f>
        <v>1202</v>
      </c>
      <c r="R105" s="68">
        <f>'SLR Raw'!T107</f>
        <v>66</v>
      </c>
      <c r="S105" s="68">
        <f>'SLR Raw'!U107</f>
        <v>1758</v>
      </c>
      <c r="T105" s="68">
        <f>'SLR Raw'!V107</f>
        <v>66</v>
      </c>
      <c r="U105" s="221">
        <f t="shared" si="6"/>
        <v>1824</v>
      </c>
      <c r="V105" s="14">
        <v>8101</v>
      </c>
      <c r="W105" s="14">
        <v>91</v>
      </c>
      <c r="X105" s="75">
        <f>C105/'FEMA Flood Zones'!$J103</f>
        <v>6.1720775212936675E-4</v>
      </c>
      <c r="Y105" s="74">
        <f>D105/'FEMA Flood Zones'!$K103</f>
        <v>0</v>
      </c>
      <c r="Z105" s="74">
        <f>E105/'FEMA Flood Zones'!$J103</f>
        <v>4.3821750401185036E-2</v>
      </c>
      <c r="AA105" s="74">
        <f>F105/'FEMA Flood Zones'!$K103</f>
        <v>0.15384615384615385</v>
      </c>
      <c r="AB105" s="74">
        <f>G105/'FEMA Flood Zones'!$J103</f>
        <v>5.6906554746327616E-2</v>
      </c>
      <c r="AC105" s="74">
        <f>H105/'FEMA Flood Zones'!$K103</f>
        <v>0.27472527472527475</v>
      </c>
      <c r="AD105" s="74">
        <f>I105/'FEMA Flood Zones'!$J103</f>
        <v>7.2707073200839398E-2</v>
      </c>
      <c r="AE105" s="74">
        <f>J105/'FEMA Flood Zones'!$K103</f>
        <v>0.46153846153846156</v>
      </c>
      <c r="AF105" s="74">
        <f>K105/'FEMA Flood Zones'!$J103</f>
        <v>8.7149734600666579E-2</v>
      </c>
      <c r="AG105" s="74">
        <f>L105/'FEMA Flood Zones'!$K103</f>
        <v>0.59340659340659341</v>
      </c>
      <c r="AH105" s="74">
        <f>M105/'FEMA Flood Zones'!$J103</f>
        <v>0.10443155166028885</v>
      </c>
      <c r="AI105" s="74">
        <f>N105/'FEMA Flood Zones'!$K103</f>
        <v>0.64835164835164838</v>
      </c>
      <c r="AJ105" s="74">
        <f>O105/'FEMA Flood Zones'!$J103</f>
        <v>0.11418343414393285</v>
      </c>
      <c r="AK105" s="74">
        <f>P105/'FEMA Flood Zones'!$K103</f>
        <v>0.67032967032967028</v>
      </c>
      <c r="AL105" s="74">
        <f>Q105/'FEMA Flood Zones'!$J103</f>
        <v>0.14837674361189976</v>
      </c>
      <c r="AM105" s="74">
        <f>R105/'FEMA Flood Zones'!$K103</f>
        <v>0.72527472527472525</v>
      </c>
      <c r="AN105" s="74">
        <f>S105/'FEMA Flood Zones'!$J103</f>
        <v>0.21701024564868535</v>
      </c>
      <c r="AO105" s="74">
        <f>T105/'FEMA Flood Zones'!$K103</f>
        <v>0.72527472527472525</v>
      </c>
      <c r="AP105" s="224">
        <f t="shared" si="7"/>
        <v>0.22265625</v>
      </c>
      <c r="AQ105" s="4">
        <f t="shared" si="5"/>
        <v>14</v>
      </c>
      <c r="AR105" s="210">
        <f t="shared" si="8"/>
        <v>11</v>
      </c>
    </row>
    <row r="106" spans="1:44" x14ac:dyDescent="0.25">
      <c r="A106" s="2" t="s">
        <v>103</v>
      </c>
      <c r="B106" s="2" t="s">
        <v>109</v>
      </c>
      <c r="C106" s="68">
        <f>'SLR Raw'!C108</f>
        <v>33</v>
      </c>
      <c r="D106" s="68">
        <f>'SLR Raw'!D108</f>
        <v>0</v>
      </c>
      <c r="E106" s="68">
        <f>'SLR Raw'!E108</f>
        <v>39</v>
      </c>
      <c r="F106" s="68">
        <f>'SLR Raw'!F108</f>
        <v>0</v>
      </c>
      <c r="G106" s="68">
        <f>'SLR Raw'!G108</f>
        <v>54</v>
      </c>
      <c r="H106" s="68">
        <f>'SLR Raw'!H108</f>
        <v>0</v>
      </c>
      <c r="I106" s="68">
        <f>'SLR Raw'!I108</f>
        <v>54</v>
      </c>
      <c r="J106" s="68">
        <f>'SLR Raw'!J108</f>
        <v>0</v>
      </c>
      <c r="K106" s="68">
        <f>'SLR Raw'!M108</f>
        <v>61</v>
      </c>
      <c r="L106" s="68">
        <f>'SLR Raw'!N108</f>
        <v>3</v>
      </c>
      <c r="M106" s="68">
        <f>'SLR Raw'!O108</f>
        <v>62</v>
      </c>
      <c r="N106" s="68">
        <f>'SLR Raw'!P108</f>
        <v>4</v>
      </c>
      <c r="O106" s="68">
        <f>'SLR Raw'!Q108</f>
        <v>65</v>
      </c>
      <c r="P106" s="68">
        <f>'SLR Raw'!R108</f>
        <v>4</v>
      </c>
      <c r="Q106" s="68">
        <f>'SLR Raw'!S108</f>
        <v>67</v>
      </c>
      <c r="R106" s="68">
        <f>'SLR Raw'!T108</f>
        <v>6</v>
      </c>
      <c r="S106" s="68">
        <f>'SLR Raw'!U108</f>
        <v>70</v>
      </c>
      <c r="T106" s="68">
        <f>'SLR Raw'!V108</f>
        <v>6</v>
      </c>
      <c r="U106" s="221">
        <f t="shared" si="6"/>
        <v>76</v>
      </c>
      <c r="V106" s="14">
        <v>5299</v>
      </c>
      <c r="W106" s="14">
        <v>216</v>
      </c>
      <c r="X106" s="75">
        <f>C106/'FEMA Flood Zones'!$J104</f>
        <v>6.2275901113417629E-3</v>
      </c>
      <c r="Y106" s="74">
        <f>D106/'FEMA Flood Zones'!$K104</f>
        <v>0</v>
      </c>
      <c r="Z106" s="74">
        <f>E106/'FEMA Flood Zones'!$J104</f>
        <v>7.3598792224948105E-3</v>
      </c>
      <c r="AA106" s="74">
        <f>F106/'FEMA Flood Zones'!$K104</f>
        <v>0</v>
      </c>
      <c r="AB106" s="74">
        <f>G106/'FEMA Flood Zones'!$J104</f>
        <v>1.0190602000377429E-2</v>
      </c>
      <c r="AC106" s="74">
        <f>H106/'FEMA Flood Zones'!$K104</f>
        <v>0</v>
      </c>
      <c r="AD106" s="74">
        <f>I106/'FEMA Flood Zones'!$J104</f>
        <v>1.0190602000377429E-2</v>
      </c>
      <c r="AE106" s="74">
        <f>J106/'FEMA Flood Zones'!$K104</f>
        <v>0</v>
      </c>
      <c r="AF106" s="74">
        <f>K106/'FEMA Flood Zones'!$J104</f>
        <v>1.1511605963389319E-2</v>
      </c>
      <c r="AG106" s="74">
        <f>L106/'FEMA Flood Zones'!$K104</f>
        <v>1.3888888888888888E-2</v>
      </c>
      <c r="AH106" s="74">
        <f>M106/'FEMA Flood Zones'!$J104</f>
        <v>1.1700320815248161E-2</v>
      </c>
      <c r="AI106" s="74">
        <f>N106/'FEMA Flood Zones'!$K104</f>
        <v>1.8518518518518517E-2</v>
      </c>
      <c r="AJ106" s="74">
        <f>O106/'FEMA Flood Zones'!$J104</f>
        <v>1.2266465370824684E-2</v>
      </c>
      <c r="AK106" s="74">
        <f>P106/'FEMA Flood Zones'!$K104</f>
        <v>1.8518518518518517E-2</v>
      </c>
      <c r="AL106" s="74">
        <f>Q106/'FEMA Flood Zones'!$J104</f>
        <v>1.2643895074542366E-2</v>
      </c>
      <c r="AM106" s="74">
        <f>R106/'FEMA Flood Zones'!$K104</f>
        <v>2.7777777777777776E-2</v>
      </c>
      <c r="AN106" s="74">
        <f>S106/'FEMA Flood Zones'!$J104</f>
        <v>1.3210039630118891E-2</v>
      </c>
      <c r="AO106" s="74">
        <f>T106/'FEMA Flood Zones'!$K104</f>
        <v>2.7777777777777776E-2</v>
      </c>
      <c r="AP106" s="224">
        <f t="shared" si="7"/>
        <v>1.3780598368087035E-2</v>
      </c>
      <c r="AQ106" s="4">
        <f t="shared" ref="AQ106:AQ118" si="9">RANK(S106,$S$10:$S$118,0)</f>
        <v>45</v>
      </c>
      <c r="AR106" s="210">
        <f t="shared" si="8"/>
        <v>41</v>
      </c>
    </row>
    <row r="107" spans="1:44" x14ac:dyDescent="0.25">
      <c r="A107" s="2" t="s">
        <v>103</v>
      </c>
      <c r="B107" s="2" t="s">
        <v>110</v>
      </c>
      <c r="C107" s="68">
        <f>'SLR Raw'!C109</f>
        <v>0</v>
      </c>
      <c r="D107" s="68">
        <f>'SLR Raw'!D109</f>
        <v>0</v>
      </c>
      <c r="E107" s="68">
        <f>'SLR Raw'!E109</f>
        <v>0</v>
      </c>
      <c r="F107" s="68">
        <f>'SLR Raw'!F109</f>
        <v>0</v>
      </c>
      <c r="G107" s="68">
        <f>'SLR Raw'!G109</f>
        <v>0</v>
      </c>
      <c r="H107" s="68">
        <f>'SLR Raw'!H109</f>
        <v>0</v>
      </c>
      <c r="I107" s="68">
        <f>'SLR Raw'!I109</f>
        <v>0</v>
      </c>
      <c r="J107" s="68">
        <f>'SLR Raw'!J109</f>
        <v>0</v>
      </c>
      <c r="K107" s="68">
        <f>'SLR Raw'!M109</f>
        <v>0</v>
      </c>
      <c r="L107" s="68">
        <f>'SLR Raw'!N109</f>
        <v>0</v>
      </c>
      <c r="M107" s="68">
        <f>'SLR Raw'!O109</f>
        <v>0</v>
      </c>
      <c r="N107" s="68">
        <f>'SLR Raw'!P109</f>
        <v>0</v>
      </c>
      <c r="O107" s="68">
        <f>'SLR Raw'!Q109</f>
        <v>0</v>
      </c>
      <c r="P107" s="68">
        <f>'SLR Raw'!R109</f>
        <v>0</v>
      </c>
      <c r="Q107" s="68">
        <f>'SLR Raw'!S109</f>
        <v>0</v>
      </c>
      <c r="R107" s="68">
        <f>'SLR Raw'!T109</f>
        <v>0</v>
      </c>
      <c r="S107" s="68">
        <f>'SLR Raw'!U109</f>
        <v>0</v>
      </c>
      <c r="T107" s="68">
        <f>'SLR Raw'!V109</f>
        <v>0</v>
      </c>
      <c r="U107" s="221">
        <f t="shared" si="6"/>
        <v>0</v>
      </c>
      <c r="V107" s="14">
        <v>25795</v>
      </c>
      <c r="W107" s="14">
        <v>1537</v>
      </c>
      <c r="X107" s="75">
        <f>C107/'FEMA Flood Zones'!$J105</f>
        <v>0</v>
      </c>
      <c r="Y107" s="74">
        <f>D107/'FEMA Flood Zones'!$K105</f>
        <v>0</v>
      </c>
      <c r="Z107" s="74">
        <f>E107/'FEMA Flood Zones'!$J105</f>
        <v>0</v>
      </c>
      <c r="AA107" s="74">
        <f>F107/'FEMA Flood Zones'!$K105</f>
        <v>0</v>
      </c>
      <c r="AB107" s="74">
        <f>G107/'FEMA Flood Zones'!$J105</f>
        <v>0</v>
      </c>
      <c r="AC107" s="74">
        <f>H107/'FEMA Flood Zones'!$K105</f>
        <v>0</v>
      </c>
      <c r="AD107" s="74">
        <f>I107/'FEMA Flood Zones'!$J105</f>
        <v>0</v>
      </c>
      <c r="AE107" s="74">
        <f>J107/'FEMA Flood Zones'!$K105</f>
        <v>0</v>
      </c>
      <c r="AF107" s="74">
        <f>K107/'FEMA Flood Zones'!$J105</f>
        <v>0</v>
      </c>
      <c r="AG107" s="74">
        <f>L107/'FEMA Flood Zones'!$K105</f>
        <v>0</v>
      </c>
      <c r="AH107" s="74">
        <f>M107/'FEMA Flood Zones'!$J105</f>
        <v>0</v>
      </c>
      <c r="AI107" s="74">
        <f>N107/'FEMA Flood Zones'!$K105</f>
        <v>0</v>
      </c>
      <c r="AJ107" s="74">
        <f>O107/'FEMA Flood Zones'!$J105</f>
        <v>0</v>
      </c>
      <c r="AK107" s="74">
        <f>P107/'FEMA Flood Zones'!$K105</f>
        <v>0</v>
      </c>
      <c r="AL107" s="74">
        <f>Q107/'FEMA Flood Zones'!$J105</f>
        <v>0</v>
      </c>
      <c r="AM107" s="74">
        <f>R107/'FEMA Flood Zones'!$K105</f>
        <v>0</v>
      </c>
      <c r="AN107" s="74">
        <f>S107/'FEMA Flood Zones'!$J105</f>
        <v>0</v>
      </c>
      <c r="AO107" s="74">
        <f>T107/'FEMA Flood Zones'!$K105</f>
        <v>0</v>
      </c>
      <c r="AP107" s="224">
        <f t="shared" si="7"/>
        <v>0</v>
      </c>
      <c r="AQ107" s="4">
        <f t="shared" si="9"/>
        <v>60</v>
      </c>
      <c r="AR107" s="210">
        <f t="shared" si="8"/>
        <v>60</v>
      </c>
    </row>
    <row r="108" spans="1:44" x14ac:dyDescent="0.25">
      <c r="A108" s="15" t="s">
        <v>103</v>
      </c>
      <c r="B108" s="15" t="s">
        <v>111</v>
      </c>
      <c r="C108" s="69">
        <f>'SLR Raw'!C110</f>
        <v>17</v>
      </c>
      <c r="D108" s="69">
        <f>'SLR Raw'!D110</f>
        <v>2</v>
      </c>
      <c r="E108" s="69">
        <f>'SLR Raw'!E110</f>
        <v>18</v>
      </c>
      <c r="F108" s="69">
        <f>'SLR Raw'!F110</f>
        <v>2</v>
      </c>
      <c r="G108" s="69">
        <f>'SLR Raw'!G110</f>
        <v>51</v>
      </c>
      <c r="H108" s="69">
        <f>'SLR Raw'!H110</f>
        <v>8</v>
      </c>
      <c r="I108" s="69">
        <f>'SLR Raw'!I110</f>
        <v>121</v>
      </c>
      <c r="J108" s="69">
        <f>'SLR Raw'!J110</f>
        <v>52</v>
      </c>
      <c r="K108" s="69">
        <f>'SLR Raw'!M110</f>
        <v>293</v>
      </c>
      <c r="L108" s="69">
        <f>'SLR Raw'!N110</f>
        <v>117</v>
      </c>
      <c r="M108" s="69">
        <f>'SLR Raw'!O110</f>
        <v>542</v>
      </c>
      <c r="N108" s="69">
        <f>'SLR Raw'!P110</f>
        <v>168</v>
      </c>
      <c r="O108" s="69">
        <f>'SLR Raw'!Q110</f>
        <v>852</v>
      </c>
      <c r="P108" s="69">
        <f>'SLR Raw'!R110</f>
        <v>186</v>
      </c>
      <c r="Q108" s="69">
        <f>'SLR Raw'!S110</f>
        <v>1272</v>
      </c>
      <c r="R108" s="69">
        <f>'SLR Raw'!T110</f>
        <v>243</v>
      </c>
      <c r="S108" s="69">
        <f>'SLR Raw'!U110</f>
        <v>1668</v>
      </c>
      <c r="T108" s="69">
        <f>'SLR Raw'!V110</f>
        <v>292</v>
      </c>
      <c r="U108" s="222">
        <f t="shared" si="6"/>
        <v>1960</v>
      </c>
      <c r="V108" s="18">
        <v>29921</v>
      </c>
      <c r="W108" s="18">
        <v>5331</v>
      </c>
      <c r="X108" s="76">
        <f>C108/'FEMA Flood Zones'!$J106</f>
        <v>5.6816282878246051E-4</v>
      </c>
      <c r="Y108" s="73">
        <f>D108/'FEMA Flood Zones'!$K106</f>
        <v>3.7516413430876007E-4</v>
      </c>
      <c r="Z108" s="73">
        <f>E108/'FEMA Flood Zones'!$J106</f>
        <v>6.0158417165201699E-4</v>
      </c>
      <c r="AA108" s="73">
        <f>F108/'FEMA Flood Zones'!$K106</f>
        <v>3.7516413430876007E-4</v>
      </c>
      <c r="AB108" s="73">
        <f>G108/'FEMA Flood Zones'!$J106</f>
        <v>1.7044884863473815E-3</v>
      </c>
      <c r="AC108" s="73">
        <f>H108/'FEMA Flood Zones'!$K106</f>
        <v>1.5006565372350403E-3</v>
      </c>
      <c r="AD108" s="73">
        <f>I108/'FEMA Flood Zones'!$J106</f>
        <v>4.0439824872163365E-3</v>
      </c>
      <c r="AE108" s="73">
        <f>J108/'FEMA Flood Zones'!$K106</f>
        <v>9.7542674920277628E-3</v>
      </c>
      <c r="AF108" s="73">
        <f>K108/'FEMA Flood Zones'!$J106</f>
        <v>9.7924534607800543E-3</v>
      </c>
      <c r="AG108" s="73">
        <f>L108/'FEMA Flood Zones'!$K106</f>
        <v>2.1947101857062466E-2</v>
      </c>
      <c r="AH108" s="73">
        <f>M108/'FEMA Flood Zones'!$J106</f>
        <v>1.8114367835299624E-2</v>
      </c>
      <c r="AI108" s="73">
        <f>N108/'FEMA Flood Zones'!$K106</f>
        <v>3.1513787281935844E-2</v>
      </c>
      <c r="AJ108" s="73">
        <f>O108/'FEMA Flood Zones'!$J106</f>
        <v>2.8474984124862136E-2</v>
      </c>
      <c r="AK108" s="73">
        <f>P108/'FEMA Flood Zones'!$K106</f>
        <v>3.4890264490714688E-2</v>
      </c>
      <c r="AL108" s="73">
        <f>Q108/'FEMA Flood Zones'!$J106</f>
        <v>4.2511948130075868E-2</v>
      </c>
      <c r="AM108" s="73">
        <f>R108/'FEMA Flood Zones'!$K106</f>
        <v>4.5582442318514348E-2</v>
      </c>
      <c r="AN108" s="73">
        <f>S108/'FEMA Flood Zones'!$J106</f>
        <v>5.5746799906420237E-2</v>
      </c>
      <c r="AO108" s="73">
        <f>T108/'FEMA Flood Zones'!$K106</f>
        <v>5.477396360907897E-2</v>
      </c>
      <c r="AP108" s="225">
        <f t="shared" si="7"/>
        <v>5.5599682287529782E-2</v>
      </c>
      <c r="AQ108" s="164">
        <f t="shared" si="9"/>
        <v>15</v>
      </c>
      <c r="AR108" s="211">
        <f t="shared" si="8"/>
        <v>26</v>
      </c>
    </row>
    <row r="109" spans="1:44" x14ac:dyDescent="0.25">
      <c r="A109" s="2" t="s">
        <v>112</v>
      </c>
      <c r="B109" s="2" t="s">
        <v>135</v>
      </c>
      <c r="C109" s="68">
        <f>'SLR Raw'!C111+'SLR Raw'!W111</f>
        <v>0</v>
      </c>
      <c r="D109" s="68">
        <f>'SLR Raw'!D111+'SLR Raw'!X111</f>
        <v>0</v>
      </c>
      <c r="E109" s="68">
        <f>'SLR Raw'!E111+'SLR Raw'!Y111</f>
        <v>0</v>
      </c>
      <c r="F109" s="68">
        <f>'SLR Raw'!F111+'SLR Raw'!Z111</f>
        <v>0</v>
      </c>
      <c r="G109" s="68">
        <f>'SLR Raw'!G111+'SLR Raw'!AA111</f>
        <v>0</v>
      </c>
      <c r="H109" s="68">
        <f>'SLR Raw'!H111+'SLR Raw'!AB111</f>
        <v>0</v>
      </c>
      <c r="I109" s="68">
        <f>'SLR Raw'!I111+'SLR Raw'!AC111</f>
        <v>0</v>
      </c>
      <c r="J109" s="68">
        <f>'SLR Raw'!J111+'SLR Raw'!AD111</f>
        <v>0</v>
      </c>
      <c r="K109" s="68">
        <f>'SLR Raw'!M111+'SLR Raw'!AE111</f>
        <v>0</v>
      </c>
      <c r="L109" s="68">
        <f>'SLR Raw'!N111+'SLR Raw'!AF111</f>
        <v>0</v>
      </c>
      <c r="M109" s="68">
        <f>'SLR Raw'!O111+'SLR Raw'!AG111</f>
        <v>0</v>
      </c>
      <c r="N109" s="68">
        <f>'SLR Raw'!P111+'SLR Raw'!AH111</f>
        <v>0</v>
      </c>
      <c r="O109" s="68">
        <f>'SLR Raw'!Q111+'SLR Raw'!AI111</f>
        <v>0</v>
      </c>
      <c r="P109" s="68">
        <f>'SLR Raw'!R111+'SLR Raw'!AJ111</f>
        <v>0</v>
      </c>
      <c r="Q109" s="68">
        <f>'SLR Raw'!S111+'SLR Raw'!AK111</f>
        <v>0</v>
      </c>
      <c r="R109" s="68">
        <f>'SLR Raw'!T111+'SLR Raw'!AL111</f>
        <v>0</v>
      </c>
      <c r="S109" s="68">
        <f>'SLR Raw'!U111+'SLR Raw'!AM111</f>
        <v>0</v>
      </c>
      <c r="T109" s="68">
        <f>'SLR Raw'!V111+'SLR Raw'!AN111</f>
        <v>0</v>
      </c>
      <c r="U109" s="221">
        <f t="shared" si="6"/>
        <v>0</v>
      </c>
      <c r="V109" s="14">
        <v>2549</v>
      </c>
      <c r="W109" s="14">
        <v>342</v>
      </c>
      <c r="X109" s="75">
        <f>C109/'FEMA Flood Zones'!$J107</f>
        <v>0</v>
      </c>
      <c r="Y109" s="74">
        <f>D109/'FEMA Flood Zones'!$K107</f>
        <v>0</v>
      </c>
      <c r="Z109" s="74">
        <f>E109/'FEMA Flood Zones'!$J107</f>
        <v>0</v>
      </c>
      <c r="AA109" s="74">
        <f>F109/'FEMA Flood Zones'!$K107</f>
        <v>0</v>
      </c>
      <c r="AB109" s="74">
        <f>G109/'FEMA Flood Zones'!$J107</f>
        <v>0</v>
      </c>
      <c r="AC109" s="74">
        <f>H109/'FEMA Flood Zones'!$K107</f>
        <v>0</v>
      </c>
      <c r="AD109" s="74">
        <f>I109/'FEMA Flood Zones'!$J107</f>
        <v>0</v>
      </c>
      <c r="AE109" s="74">
        <f>J109/'FEMA Flood Zones'!$K107</f>
        <v>0</v>
      </c>
      <c r="AF109" s="74">
        <f>K109/'FEMA Flood Zones'!$J107</f>
        <v>0</v>
      </c>
      <c r="AG109" s="74">
        <f>L109/'FEMA Flood Zones'!$K107</f>
        <v>0</v>
      </c>
      <c r="AH109" s="74">
        <f>M109/'FEMA Flood Zones'!$J107</f>
        <v>0</v>
      </c>
      <c r="AI109" s="74">
        <f>N109/'FEMA Flood Zones'!$K107</f>
        <v>0</v>
      </c>
      <c r="AJ109" s="74">
        <f>O109/'FEMA Flood Zones'!$J107</f>
        <v>0</v>
      </c>
      <c r="AK109" s="74">
        <f>P109/'FEMA Flood Zones'!$K107</f>
        <v>0</v>
      </c>
      <c r="AL109" s="74">
        <f>Q109/'FEMA Flood Zones'!$J107</f>
        <v>0</v>
      </c>
      <c r="AM109" s="74">
        <f>R109/'FEMA Flood Zones'!$K107</f>
        <v>0</v>
      </c>
      <c r="AN109" s="74">
        <f>S109/'FEMA Flood Zones'!$J107</f>
        <v>0</v>
      </c>
      <c r="AO109" s="74">
        <f>T109/'FEMA Flood Zones'!$K107</f>
        <v>0</v>
      </c>
      <c r="AP109" s="224">
        <f t="shared" si="7"/>
        <v>0</v>
      </c>
      <c r="AQ109" s="4">
        <f t="shared" si="9"/>
        <v>60</v>
      </c>
      <c r="AR109" s="210">
        <f t="shared" si="8"/>
        <v>60</v>
      </c>
    </row>
    <row r="110" spans="1:44" x14ac:dyDescent="0.25">
      <c r="A110" s="2" t="s">
        <v>112</v>
      </c>
      <c r="B110" s="2" t="s">
        <v>113</v>
      </c>
      <c r="C110" s="68">
        <f>'SLR Raw'!C112+'SLR Raw'!W112</f>
        <v>0</v>
      </c>
      <c r="D110" s="68">
        <f>'SLR Raw'!D112+'SLR Raw'!X112</f>
        <v>0</v>
      </c>
      <c r="E110" s="68">
        <f>'SLR Raw'!E112+'SLR Raw'!Y112</f>
        <v>0</v>
      </c>
      <c r="F110" s="68">
        <f>'SLR Raw'!F112+'SLR Raw'!Z112</f>
        <v>0</v>
      </c>
      <c r="G110" s="68">
        <f>'SLR Raw'!G112+'SLR Raw'!AA112</f>
        <v>0</v>
      </c>
      <c r="H110" s="68">
        <f>'SLR Raw'!H112+'SLR Raw'!AB112</f>
        <v>0</v>
      </c>
      <c r="I110" s="68">
        <f>'SLR Raw'!I112+'SLR Raw'!AC112</f>
        <v>0</v>
      </c>
      <c r="J110" s="68">
        <f>'SLR Raw'!J112+'SLR Raw'!AD112</f>
        <v>0</v>
      </c>
      <c r="K110" s="68">
        <f>'SLR Raw'!M112+'SLR Raw'!AE112</f>
        <v>0</v>
      </c>
      <c r="L110" s="68">
        <f>'SLR Raw'!N112+'SLR Raw'!AF112</f>
        <v>0</v>
      </c>
      <c r="M110" s="68">
        <f>'SLR Raw'!O112+'SLR Raw'!AG112</f>
        <v>0</v>
      </c>
      <c r="N110" s="68">
        <f>'SLR Raw'!P112+'SLR Raw'!AH112</f>
        <v>0</v>
      </c>
      <c r="O110" s="68">
        <f>'SLR Raw'!Q112+'SLR Raw'!AI112</f>
        <v>0</v>
      </c>
      <c r="P110" s="68">
        <f>'SLR Raw'!R112+'SLR Raw'!AJ112</f>
        <v>0</v>
      </c>
      <c r="Q110" s="68">
        <f>'SLR Raw'!S112+'SLR Raw'!AK112</f>
        <v>0</v>
      </c>
      <c r="R110" s="68">
        <f>'SLR Raw'!T112+'SLR Raw'!AL112</f>
        <v>0</v>
      </c>
      <c r="S110" s="68">
        <f>'SLR Raw'!U112+'SLR Raw'!AM112</f>
        <v>0</v>
      </c>
      <c r="T110" s="68">
        <f>'SLR Raw'!V112+'SLR Raw'!AN112</f>
        <v>0</v>
      </c>
      <c r="U110" s="221">
        <f t="shared" si="6"/>
        <v>0</v>
      </c>
      <c r="V110" s="14">
        <v>1423</v>
      </c>
      <c r="W110" s="14">
        <v>659</v>
      </c>
      <c r="X110" s="75">
        <f>C110/'FEMA Flood Zones'!$J108</f>
        <v>0</v>
      </c>
      <c r="Y110" s="74">
        <f>D110/'FEMA Flood Zones'!$K108</f>
        <v>0</v>
      </c>
      <c r="Z110" s="74">
        <f>E110/'FEMA Flood Zones'!$J108</f>
        <v>0</v>
      </c>
      <c r="AA110" s="74">
        <f>F110/'FEMA Flood Zones'!$K108</f>
        <v>0</v>
      </c>
      <c r="AB110" s="74">
        <f>G110/'FEMA Flood Zones'!$J108</f>
        <v>0</v>
      </c>
      <c r="AC110" s="74">
        <f>H110/'FEMA Flood Zones'!$K108</f>
        <v>0</v>
      </c>
      <c r="AD110" s="74">
        <f>I110/'FEMA Flood Zones'!$J108</f>
        <v>0</v>
      </c>
      <c r="AE110" s="74">
        <f>J110/'FEMA Flood Zones'!$K108</f>
        <v>0</v>
      </c>
      <c r="AF110" s="74">
        <f>K110/'FEMA Flood Zones'!$J108</f>
        <v>0</v>
      </c>
      <c r="AG110" s="74">
        <f>L110/'FEMA Flood Zones'!$K108</f>
        <v>0</v>
      </c>
      <c r="AH110" s="74">
        <f>M110/'FEMA Flood Zones'!$J108</f>
        <v>0</v>
      </c>
      <c r="AI110" s="74">
        <f>N110/'FEMA Flood Zones'!$K108</f>
        <v>0</v>
      </c>
      <c r="AJ110" s="74">
        <f>O110/'FEMA Flood Zones'!$J108</f>
        <v>0</v>
      </c>
      <c r="AK110" s="74">
        <f>P110/'FEMA Flood Zones'!$K108</f>
        <v>0</v>
      </c>
      <c r="AL110" s="74">
        <f>Q110/'FEMA Flood Zones'!$J108</f>
        <v>0</v>
      </c>
      <c r="AM110" s="74">
        <f>R110/'FEMA Flood Zones'!$K108</f>
        <v>0</v>
      </c>
      <c r="AN110" s="74">
        <f>S110/'FEMA Flood Zones'!$J108</f>
        <v>0</v>
      </c>
      <c r="AO110" s="74">
        <f>T110/'FEMA Flood Zones'!$K108</f>
        <v>0</v>
      </c>
      <c r="AP110" s="224">
        <f t="shared" si="7"/>
        <v>0</v>
      </c>
      <c r="AQ110" s="4">
        <f t="shared" si="9"/>
        <v>60</v>
      </c>
      <c r="AR110" s="210">
        <f t="shared" si="8"/>
        <v>60</v>
      </c>
    </row>
    <row r="111" spans="1:44" x14ac:dyDescent="0.25">
      <c r="A111" s="2" t="s">
        <v>112</v>
      </c>
      <c r="B111" s="2" t="s">
        <v>114</v>
      </c>
      <c r="C111" s="68">
        <f>'SLR Raw'!C113+'SLR Raw'!W113</f>
        <v>0</v>
      </c>
      <c r="D111" s="68">
        <f>'SLR Raw'!D113+'SLR Raw'!X113</f>
        <v>0</v>
      </c>
      <c r="E111" s="68">
        <f>'SLR Raw'!E113+'SLR Raw'!Y113</f>
        <v>0</v>
      </c>
      <c r="F111" s="68">
        <f>'SLR Raw'!F113+'SLR Raw'!Z113</f>
        <v>0</v>
      </c>
      <c r="G111" s="68">
        <f>'SLR Raw'!G113+'SLR Raw'!AA113</f>
        <v>0</v>
      </c>
      <c r="H111" s="68">
        <f>'SLR Raw'!H113+'SLR Raw'!AB113</f>
        <v>0</v>
      </c>
      <c r="I111" s="68">
        <f>'SLR Raw'!I113+'SLR Raw'!AC113</f>
        <v>0</v>
      </c>
      <c r="J111" s="68">
        <f>'SLR Raw'!J113+'SLR Raw'!AD113</f>
        <v>0</v>
      </c>
      <c r="K111" s="68">
        <f>'SLR Raw'!M113+'SLR Raw'!AE113</f>
        <v>0</v>
      </c>
      <c r="L111" s="68">
        <f>'SLR Raw'!N113+'SLR Raw'!AF113</f>
        <v>0</v>
      </c>
      <c r="M111" s="68">
        <f>'SLR Raw'!O113+'SLR Raw'!AG113</f>
        <v>0</v>
      </c>
      <c r="N111" s="68">
        <f>'SLR Raw'!P113+'SLR Raw'!AH113</f>
        <v>0</v>
      </c>
      <c r="O111" s="68">
        <f>'SLR Raw'!Q113+'SLR Raw'!AI113</f>
        <v>0</v>
      </c>
      <c r="P111" s="68">
        <f>'SLR Raw'!R113+'SLR Raw'!AJ113</f>
        <v>0</v>
      </c>
      <c r="Q111" s="68">
        <f>'SLR Raw'!S113+'SLR Raw'!AK113</f>
        <v>0</v>
      </c>
      <c r="R111" s="68">
        <f>'SLR Raw'!T113+'SLR Raw'!AL113</f>
        <v>0</v>
      </c>
      <c r="S111" s="68">
        <f>'SLR Raw'!U113+'SLR Raw'!AM113</f>
        <v>0</v>
      </c>
      <c r="T111" s="68">
        <f>'SLR Raw'!V113+'SLR Raw'!AN113</f>
        <v>0</v>
      </c>
      <c r="U111" s="221">
        <f t="shared" si="6"/>
        <v>0</v>
      </c>
      <c r="V111" s="14">
        <v>3182</v>
      </c>
      <c r="W111" s="14">
        <v>667</v>
      </c>
      <c r="X111" s="75">
        <f>C111/'FEMA Flood Zones'!$J109</f>
        <v>0</v>
      </c>
      <c r="Y111" s="74">
        <f>D111/'FEMA Flood Zones'!$K109</f>
        <v>0</v>
      </c>
      <c r="Z111" s="74">
        <f>E111/'FEMA Flood Zones'!$J109</f>
        <v>0</v>
      </c>
      <c r="AA111" s="74">
        <f>F111/'FEMA Flood Zones'!$K109</f>
        <v>0</v>
      </c>
      <c r="AB111" s="74">
        <f>G111/'FEMA Flood Zones'!$J109</f>
        <v>0</v>
      </c>
      <c r="AC111" s="74">
        <f>H111/'FEMA Flood Zones'!$K109</f>
        <v>0</v>
      </c>
      <c r="AD111" s="74">
        <f>I111/'FEMA Flood Zones'!$J109</f>
        <v>0</v>
      </c>
      <c r="AE111" s="74">
        <f>J111/'FEMA Flood Zones'!$K109</f>
        <v>0</v>
      </c>
      <c r="AF111" s="74">
        <f>K111/'FEMA Flood Zones'!$J109</f>
        <v>0</v>
      </c>
      <c r="AG111" s="74">
        <f>L111/'FEMA Flood Zones'!$K109</f>
        <v>0</v>
      </c>
      <c r="AH111" s="74">
        <f>M111/'FEMA Flood Zones'!$J109</f>
        <v>0</v>
      </c>
      <c r="AI111" s="74">
        <f>N111/'FEMA Flood Zones'!$K109</f>
        <v>0</v>
      </c>
      <c r="AJ111" s="74">
        <f>O111/'FEMA Flood Zones'!$J109</f>
        <v>0</v>
      </c>
      <c r="AK111" s="74">
        <f>P111/'FEMA Flood Zones'!$K109</f>
        <v>0</v>
      </c>
      <c r="AL111" s="74">
        <f>Q111/'FEMA Flood Zones'!$J109</f>
        <v>0</v>
      </c>
      <c r="AM111" s="74">
        <f>R111/'FEMA Flood Zones'!$K109</f>
        <v>0</v>
      </c>
      <c r="AN111" s="74">
        <f>S111/'FEMA Flood Zones'!$J109</f>
        <v>0</v>
      </c>
      <c r="AO111" s="74">
        <f>T111/'FEMA Flood Zones'!$K109</f>
        <v>0</v>
      </c>
      <c r="AP111" s="224">
        <f t="shared" si="7"/>
        <v>0</v>
      </c>
      <c r="AQ111" s="4">
        <f t="shared" si="9"/>
        <v>60</v>
      </c>
      <c r="AR111" s="210">
        <f t="shared" si="8"/>
        <v>60</v>
      </c>
    </row>
    <row r="112" spans="1:44" x14ac:dyDescent="0.25">
      <c r="A112" s="2" t="s">
        <v>112</v>
      </c>
      <c r="B112" s="2" t="s">
        <v>115</v>
      </c>
      <c r="C112" s="68">
        <f>'SLR Raw'!C114+'SLR Raw'!W114</f>
        <v>0</v>
      </c>
      <c r="D112" s="68">
        <f>'SLR Raw'!D114+'SLR Raw'!X114</f>
        <v>0</v>
      </c>
      <c r="E112" s="68">
        <f>'SLR Raw'!E114+'SLR Raw'!Y114</f>
        <v>0</v>
      </c>
      <c r="F112" s="68">
        <f>'SLR Raw'!F114+'SLR Raw'!Z114</f>
        <v>0</v>
      </c>
      <c r="G112" s="68">
        <f>'SLR Raw'!G114+'SLR Raw'!AA114</f>
        <v>0</v>
      </c>
      <c r="H112" s="68">
        <f>'SLR Raw'!H114+'SLR Raw'!AB114</f>
        <v>0</v>
      </c>
      <c r="I112" s="68">
        <f>'SLR Raw'!I114+'SLR Raw'!AC114</f>
        <v>0</v>
      </c>
      <c r="J112" s="68">
        <f>'SLR Raw'!J114+'SLR Raw'!AD114</f>
        <v>37</v>
      </c>
      <c r="K112" s="68">
        <f>'SLR Raw'!M114+'SLR Raw'!AE114</f>
        <v>53</v>
      </c>
      <c r="L112" s="68">
        <f>'SLR Raw'!N114+'SLR Raw'!AF114</f>
        <v>81</v>
      </c>
      <c r="M112" s="68">
        <f>'SLR Raw'!O114+'SLR Raw'!AG114</f>
        <v>75</v>
      </c>
      <c r="N112" s="68">
        <f>'SLR Raw'!P114+'SLR Raw'!AH114</f>
        <v>88</v>
      </c>
      <c r="O112" s="68">
        <f>'SLR Raw'!Q114+'SLR Raw'!AI114</f>
        <v>87</v>
      </c>
      <c r="P112" s="68">
        <f>'SLR Raw'!R114+'SLR Raw'!AJ114</f>
        <v>97</v>
      </c>
      <c r="Q112" s="68">
        <f>'SLR Raw'!S114+'SLR Raw'!AK114</f>
        <v>136</v>
      </c>
      <c r="R112" s="68">
        <f>'SLR Raw'!T114+'SLR Raw'!AL114</f>
        <v>120</v>
      </c>
      <c r="S112" s="68">
        <f>'SLR Raw'!U114+'SLR Raw'!AM114</f>
        <v>228</v>
      </c>
      <c r="T112" s="68">
        <f>'SLR Raw'!V114+'SLR Raw'!AN114</f>
        <v>132</v>
      </c>
      <c r="U112" s="221">
        <f t="shared" si="6"/>
        <v>360</v>
      </c>
      <c r="V112" s="14">
        <v>14844</v>
      </c>
      <c r="W112" s="14">
        <v>2015</v>
      </c>
      <c r="X112" s="75">
        <f>C112/'FEMA Flood Zones'!$J110</f>
        <v>0</v>
      </c>
      <c r="Y112" s="74">
        <f>D112/'FEMA Flood Zones'!$K110</f>
        <v>0</v>
      </c>
      <c r="Z112" s="74">
        <f>E112/'FEMA Flood Zones'!$J110</f>
        <v>0</v>
      </c>
      <c r="AA112" s="74">
        <f>F112/'FEMA Flood Zones'!$K110</f>
        <v>0</v>
      </c>
      <c r="AB112" s="74">
        <f>G112/'FEMA Flood Zones'!$J110</f>
        <v>0</v>
      </c>
      <c r="AC112" s="74">
        <f>H112/'FEMA Flood Zones'!$K110</f>
        <v>0</v>
      </c>
      <c r="AD112" s="74">
        <f>I112/'FEMA Flood Zones'!$J110</f>
        <v>0</v>
      </c>
      <c r="AE112" s="74">
        <f>J112/'FEMA Flood Zones'!$K110</f>
        <v>1.836228287841191E-2</v>
      </c>
      <c r="AF112" s="74">
        <f>K112/'FEMA Flood Zones'!$J110</f>
        <v>3.5704661816222043E-3</v>
      </c>
      <c r="AG112" s="74">
        <f>L112/'FEMA Flood Zones'!$K110</f>
        <v>4.0198511166253101E-2</v>
      </c>
      <c r="AH112" s="74">
        <f>M112/'FEMA Flood Zones'!$J110</f>
        <v>5.0525464834276475E-3</v>
      </c>
      <c r="AI112" s="74">
        <f>N112/'FEMA Flood Zones'!$K110</f>
        <v>4.3672456575682382E-2</v>
      </c>
      <c r="AJ112" s="74">
        <f>O112/'FEMA Flood Zones'!$J110</f>
        <v>5.8609539207760712E-3</v>
      </c>
      <c r="AK112" s="74">
        <f>P112/'FEMA Flood Zones'!$K110</f>
        <v>4.813895781637717E-2</v>
      </c>
      <c r="AL112" s="74">
        <f>Q112/'FEMA Flood Zones'!$J110</f>
        <v>9.1619509566154677E-3</v>
      </c>
      <c r="AM112" s="74">
        <f>R112/'FEMA Flood Zones'!$K110</f>
        <v>5.9553349875930521E-2</v>
      </c>
      <c r="AN112" s="74">
        <f>S112/'FEMA Flood Zones'!$J110</f>
        <v>1.5359741309620048E-2</v>
      </c>
      <c r="AO112" s="74">
        <f>T112/'FEMA Flood Zones'!$K110</f>
        <v>6.550868486352357E-2</v>
      </c>
      <c r="AP112" s="224">
        <f t="shared" si="7"/>
        <v>2.1353579690373093E-2</v>
      </c>
      <c r="AQ112" s="4">
        <f t="shared" si="9"/>
        <v>38</v>
      </c>
      <c r="AR112" s="210">
        <f t="shared" si="8"/>
        <v>39</v>
      </c>
    </row>
    <row r="113" spans="1:44" x14ac:dyDescent="0.25">
      <c r="A113" s="2" t="s">
        <v>112</v>
      </c>
      <c r="B113" s="2" t="s">
        <v>116</v>
      </c>
      <c r="C113" s="68">
        <f>'SLR Raw'!C115+'SLR Raw'!W115</f>
        <v>0</v>
      </c>
      <c r="D113" s="68">
        <f>'SLR Raw'!D115+'SLR Raw'!X115</f>
        <v>0</v>
      </c>
      <c r="E113" s="68">
        <f>'SLR Raw'!E115+'SLR Raw'!Y115</f>
        <v>0</v>
      </c>
      <c r="F113" s="68">
        <f>'SLR Raw'!F115+'SLR Raw'!Z115</f>
        <v>0</v>
      </c>
      <c r="G113" s="68">
        <f>'SLR Raw'!G115+'SLR Raw'!AA115</f>
        <v>0</v>
      </c>
      <c r="H113" s="68">
        <f>'SLR Raw'!H115+'SLR Raw'!AB115</f>
        <v>0</v>
      </c>
      <c r="I113" s="68">
        <f>'SLR Raw'!I115+'SLR Raw'!AC115</f>
        <v>0</v>
      </c>
      <c r="J113" s="68">
        <f>'SLR Raw'!J115+'SLR Raw'!AD115</f>
        <v>0</v>
      </c>
      <c r="K113" s="68">
        <f>'SLR Raw'!M115+'SLR Raw'!AE115</f>
        <v>0</v>
      </c>
      <c r="L113" s="68">
        <f>'SLR Raw'!N115+'SLR Raw'!AF115</f>
        <v>0</v>
      </c>
      <c r="M113" s="68">
        <f>'SLR Raw'!O115+'SLR Raw'!AG115</f>
        <v>0</v>
      </c>
      <c r="N113" s="68">
        <f>'SLR Raw'!P115+'SLR Raw'!AH115</f>
        <v>0</v>
      </c>
      <c r="O113" s="68">
        <f>'SLR Raw'!Q115+'SLR Raw'!AI115</f>
        <v>0</v>
      </c>
      <c r="P113" s="68">
        <f>'SLR Raw'!R115+'SLR Raw'!AJ115</f>
        <v>0</v>
      </c>
      <c r="Q113" s="68">
        <f>'SLR Raw'!S115+'SLR Raw'!AK115</f>
        <v>0</v>
      </c>
      <c r="R113" s="68">
        <f>'SLR Raw'!T115+'SLR Raw'!AL115</f>
        <v>0</v>
      </c>
      <c r="S113" s="68">
        <f>'SLR Raw'!U115+'SLR Raw'!AM115</f>
        <v>0</v>
      </c>
      <c r="T113" s="68">
        <f>'SLR Raw'!V115+'SLR Raw'!AN115</f>
        <v>0</v>
      </c>
      <c r="U113" s="221">
        <f t="shared" si="6"/>
        <v>0</v>
      </c>
      <c r="V113" s="14">
        <v>8013</v>
      </c>
      <c r="W113" s="14">
        <v>2135</v>
      </c>
      <c r="X113" s="75">
        <f>C113/'FEMA Flood Zones'!$J111</f>
        <v>0</v>
      </c>
      <c r="Y113" s="74">
        <f>D113/'FEMA Flood Zones'!$K111</f>
        <v>0</v>
      </c>
      <c r="Z113" s="74">
        <f>E113/'FEMA Flood Zones'!$J111</f>
        <v>0</v>
      </c>
      <c r="AA113" s="74">
        <f>F113/'FEMA Flood Zones'!$K111</f>
        <v>0</v>
      </c>
      <c r="AB113" s="74">
        <f>G113/'FEMA Flood Zones'!$J111</f>
        <v>0</v>
      </c>
      <c r="AC113" s="74">
        <f>H113/'FEMA Flood Zones'!$K111</f>
        <v>0</v>
      </c>
      <c r="AD113" s="74">
        <f>I113/'FEMA Flood Zones'!$J111</f>
        <v>0</v>
      </c>
      <c r="AE113" s="74">
        <f>J113/'FEMA Flood Zones'!$K111</f>
        <v>0</v>
      </c>
      <c r="AF113" s="74">
        <f>K113/'FEMA Flood Zones'!$J111</f>
        <v>0</v>
      </c>
      <c r="AG113" s="74">
        <f>L113/'FEMA Flood Zones'!$K111</f>
        <v>0</v>
      </c>
      <c r="AH113" s="74">
        <f>M113/'FEMA Flood Zones'!$J111</f>
        <v>0</v>
      </c>
      <c r="AI113" s="74">
        <f>N113/'FEMA Flood Zones'!$K111</f>
        <v>0</v>
      </c>
      <c r="AJ113" s="74">
        <f>O113/'FEMA Flood Zones'!$J111</f>
        <v>0</v>
      </c>
      <c r="AK113" s="74">
        <f>P113/'FEMA Flood Zones'!$K111</f>
        <v>0</v>
      </c>
      <c r="AL113" s="74">
        <f>Q113/'FEMA Flood Zones'!$J111</f>
        <v>0</v>
      </c>
      <c r="AM113" s="74">
        <f>R113/'FEMA Flood Zones'!$K111</f>
        <v>0</v>
      </c>
      <c r="AN113" s="74">
        <f>S113/'FEMA Flood Zones'!$J111</f>
        <v>0</v>
      </c>
      <c r="AO113" s="74">
        <f>T113/'FEMA Flood Zones'!$K111</f>
        <v>0</v>
      </c>
      <c r="AP113" s="224">
        <f t="shared" si="7"/>
        <v>0</v>
      </c>
      <c r="AQ113" s="4">
        <f t="shared" si="9"/>
        <v>60</v>
      </c>
      <c r="AR113" s="210">
        <f t="shared" si="8"/>
        <v>60</v>
      </c>
    </row>
    <row r="114" spans="1:44" x14ac:dyDescent="0.25">
      <c r="A114" s="2" t="s">
        <v>112</v>
      </c>
      <c r="B114" s="2" t="s">
        <v>117</v>
      </c>
      <c r="C114" s="68">
        <f>'SLR Raw'!C116+'SLR Raw'!W116</f>
        <v>0</v>
      </c>
      <c r="D114" s="68">
        <f>'SLR Raw'!D116+'SLR Raw'!X116</f>
        <v>0</v>
      </c>
      <c r="E114" s="68">
        <f>'SLR Raw'!E116+'SLR Raw'!Y116</f>
        <v>0</v>
      </c>
      <c r="F114" s="68">
        <f>'SLR Raw'!F116+'SLR Raw'!Z116</f>
        <v>0</v>
      </c>
      <c r="G114" s="68">
        <f>'SLR Raw'!G116+'SLR Raw'!AA116</f>
        <v>0</v>
      </c>
      <c r="H114" s="68">
        <f>'SLR Raw'!H116+'SLR Raw'!AB116</f>
        <v>0</v>
      </c>
      <c r="I114" s="68">
        <f>'SLR Raw'!I116+'SLR Raw'!AC116</f>
        <v>0</v>
      </c>
      <c r="J114" s="68">
        <f>'SLR Raw'!J116+'SLR Raw'!AD116</f>
        <v>0</v>
      </c>
      <c r="K114" s="68">
        <f>'SLR Raw'!M116+'SLR Raw'!AE116</f>
        <v>0</v>
      </c>
      <c r="L114" s="68">
        <f>'SLR Raw'!N116+'SLR Raw'!AF116</f>
        <v>0</v>
      </c>
      <c r="M114" s="68">
        <f>'SLR Raw'!O116+'SLR Raw'!AG116</f>
        <v>0</v>
      </c>
      <c r="N114" s="68">
        <f>'SLR Raw'!P116+'SLR Raw'!AH116</f>
        <v>0</v>
      </c>
      <c r="O114" s="68">
        <f>'SLR Raw'!Q116+'SLR Raw'!AI116</f>
        <v>0</v>
      </c>
      <c r="P114" s="68">
        <f>'SLR Raw'!R116+'SLR Raw'!AJ116</f>
        <v>0</v>
      </c>
      <c r="Q114" s="68">
        <f>'SLR Raw'!S116+'SLR Raw'!AK116</f>
        <v>0</v>
      </c>
      <c r="R114" s="68">
        <f>'SLR Raw'!T116+'SLR Raw'!AL116</f>
        <v>0</v>
      </c>
      <c r="S114" s="68">
        <f>'SLR Raw'!U116+'SLR Raw'!AM116</f>
        <v>0</v>
      </c>
      <c r="T114" s="68">
        <f>'SLR Raw'!V116+'SLR Raw'!AN116</f>
        <v>0</v>
      </c>
      <c r="U114" s="221">
        <f t="shared" si="6"/>
        <v>0</v>
      </c>
      <c r="V114" s="14">
        <v>39202</v>
      </c>
      <c r="W114" s="14">
        <v>8516</v>
      </c>
      <c r="X114" s="75">
        <f>C114/'FEMA Flood Zones'!$J112</f>
        <v>0</v>
      </c>
      <c r="Y114" s="74">
        <f>D114/'FEMA Flood Zones'!$K112</f>
        <v>0</v>
      </c>
      <c r="Z114" s="74">
        <f>E114/'FEMA Flood Zones'!$J112</f>
        <v>0</v>
      </c>
      <c r="AA114" s="74">
        <f>F114/'FEMA Flood Zones'!$K112</f>
        <v>0</v>
      </c>
      <c r="AB114" s="74">
        <f>G114/'FEMA Flood Zones'!$J112</f>
        <v>0</v>
      </c>
      <c r="AC114" s="74">
        <f>H114/'FEMA Flood Zones'!$K112</f>
        <v>0</v>
      </c>
      <c r="AD114" s="74">
        <f>I114/'FEMA Flood Zones'!$J112</f>
        <v>0</v>
      </c>
      <c r="AE114" s="74">
        <f>J114/'FEMA Flood Zones'!$K112</f>
        <v>0</v>
      </c>
      <c r="AF114" s="74">
        <f>K114/'FEMA Flood Zones'!$J112</f>
        <v>0</v>
      </c>
      <c r="AG114" s="74">
        <f>L114/'FEMA Flood Zones'!$K112</f>
        <v>0</v>
      </c>
      <c r="AH114" s="74">
        <f>M114/'FEMA Flood Zones'!$J112</f>
        <v>0</v>
      </c>
      <c r="AI114" s="74">
        <f>N114/'FEMA Flood Zones'!$K112</f>
        <v>0</v>
      </c>
      <c r="AJ114" s="74">
        <f>O114/'FEMA Flood Zones'!$J112</f>
        <v>0</v>
      </c>
      <c r="AK114" s="74">
        <f>P114/'FEMA Flood Zones'!$K112</f>
        <v>0</v>
      </c>
      <c r="AL114" s="74">
        <f>Q114/'FEMA Flood Zones'!$J112</f>
        <v>0</v>
      </c>
      <c r="AM114" s="74">
        <f>R114/'FEMA Flood Zones'!$K112</f>
        <v>0</v>
      </c>
      <c r="AN114" s="74">
        <f>S114/'FEMA Flood Zones'!$J112</f>
        <v>0</v>
      </c>
      <c r="AO114" s="74">
        <f>T114/'FEMA Flood Zones'!$K112</f>
        <v>0</v>
      </c>
      <c r="AP114" s="224">
        <f t="shared" si="7"/>
        <v>0</v>
      </c>
      <c r="AQ114" s="4">
        <f t="shared" si="9"/>
        <v>60</v>
      </c>
      <c r="AR114" s="210">
        <f t="shared" si="8"/>
        <v>60</v>
      </c>
    </row>
    <row r="115" spans="1:44" x14ac:dyDescent="0.25">
      <c r="A115" s="2" t="s">
        <v>112</v>
      </c>
      <c r="B115" s="2" t="s">
        <v>118</v>
      </c>
      <c r="C115" s="68">
        <f>'SLR Raw'!C117+'SLR Raw'!W117</f>
        <v>0</v>
      </c>
      <c r="D115" s="68">
        <f>'SLR Raw'!D117+'SLR Raw'!X117</f>
        <v>0</v>
      </c>
      <c r="E115" s="68">
        <f>'SLR Raw'!E117+'SLR Raw'!Y117</f>
        <v>0</v>
      </c>
      <c r="F115" s="68">
        <f>'SLR Raw'!F117+'SLR Raw'!Z117</f>
        <v>0</v>
      </c>
      <c r="G115" s="68">
        <f>'SLR Raw'!G117+'SLR Raw'!AA117</f>
        <v>0</v>
      </c>
      <c r="H115" s="68">
        <f>'SLR Raw'!H117+'SLR Raw'!AB117</f>
        <v>0</v>
      </c>
      <c r="I115" s="68">
        <f>'SLR Raw'!I117+'SLR Raw'!AC117</f>
        <v>0</v>
      </c>
      <c r="J115" s="68">
        <f>'SLR Raw'!J117+'SLR Raw'!AD117</f>
        <v>0</v>
      </c>
      <c r="K115" s="68">
        <f>'SLR Raw'!M117+'SLR Raw'!AE117</f>
        <v>0</v>
      </c>
      <c r="L115" s="68">
        <f>'SLR Raw'!N117+'SLR Raw'!AF117</f>
        <v>0</v>
      </c>
      <c r="M115" s="68">
        <f>'SLR Raw'!O117+'SLR Raw'!AG117</f>
        <v>0</v>
      </c>
      <c r="N115" s="68">
        <f>'SLR Raw'!P117+'SLR Raw'!AH117</f>
        <v>0</v>
      </c>
      <c r="O115" s="68">
        <f>'SLR Raw'!Q117+'SLR Raw'!AI117</f>
        <v>0</v>
      </c>
      <c r="P115" s="68">
        <f>'SLR Raw'!R117+'SLR Raw'!AJ117</f>
        <v>0</v>
      </c>
      <c r="Q115" s="68">
        <f>'SLR Raw'!S117+'SLR Raw'!AK117</f>
        <v>0</v>
      </c>
      <c r="R115" s="68">
        <f>'SLR Raw'!T117+'SLR Raw'!AL117</f>
        <v>0</v>
      </c>
      <c r="S115" s="68">
        <f>'SLR Raw'!U117+'SLR Raw'!AM117</f>
        <v>0</v>
      </c>
      <c r="T115" s="68">
        <f>'SLR Raw'!V117+'SLR Raw'!AN117</f>
        <v>0</v>
      </c>
      <c r="U115" s="221">
        <f t="shared" si="6"/>
        <v>0</v>
      </c>
      <c r="V115" s="14">
        <v>1798</v>
      </c>
      <c r="W115" s="14">
        <v>527</v>
      </c>
      <c r="X115" s="75">
        <f>C115/'FEMA Flood Zones'!$J113</f>
        <v>0</v>
      </c>
      <c r="Y115" s="74">
        <f>D115/'FEMA Flood Zones'!$K113</f>
        <v>0</v>
      </c>
      <c r="Z115" s="74">
        <f>E115/'FEMA Flood Zones'!$J113</f>
        <v>0</v>
      </c>
      <c r="AA115" s="74">
        <f>F115/'FEMA Flood Zones'!$K113</f>
        <v>0</v>
      </c>
      <c r="AB115" s="74">
        <f>G115/'FEMA Flood Zones'!$J113</f>
        <v>0</v>
      </c>
      <c r="AC115" s="74">
        <f>H115/'FEMA Flood Zones'!$K113</f>
        <v>0</v>
      </c>
      <c r="AD115" s="74">
        <f>I115/'FEMA Flood Zones'!$J113</f>
        <v>0</v>
      </c>
      <c r="AE115" s="74">
        <f>J115/'FEMA Flood Zones'!$K113</f>
        <v>0</v>
      </c>
      <c r="AF115" s="74">
        <f>K115/'FEMA Flood Zones'!$J113</f>
        <v>0</v>
      </c>
      <c r="AG115" s="74">
        <f>L115/'FEMA Flood Zones'!$K113</f>
        <v>0</v>
      </c>
      <c r="AH115" s="74">
        <f>M115/'FEMA Flood Zones'!$J113</f>
        <v>0</v>
      </c>
      <c r="AI115" s="74">
        <f>N115/'FEMA Flood Zones'!$K113</f>
        <v>0</v>
      </c>
      <c r="AJ115" s="74">
        <f>O115/'FEMA Flood Zones'!$J113</f>
        <v>0</v>
      </c>
      <c r="AK115" s="74">
        <f>P115/'FEMA Flood Zones'!$K113</f>
        <v>0</v>
      </c>
      <c r="AL115" s="74">
        <f>Q115/'FEMA Flood Zones'!$J113</f>
        <v>0</v>
      </c>
      <c r="AM115" s="74">
        <f>R115/'FEMA Flood Zones'!$K113</f>
        <v>0</v>
      </c>
      <c r="AN115" s="74">
        <f>S115/'FEMA Flood Zones'!$J113</f>
        <v>0</v>
      </c>
      <c r="AO115" s="74">
        <f>T115/'FEMA Flood Zones'!$K113</f>
        <v>0</v>
      </c>
      <c r="AP115" s="224">
        <f t="shared" si="7"/>
        <v>0</v>
      </c>
      <c r="AQ115" s="4">
        <f t="shared" si="9"/>
        <v>60</v>
      </c>
      <c r="AR115" s="210">
        <f t="shared" si="8"/>
        <v>60</v>
      </c>
    </row>
    <row r="116" spans="1:44" x14ac:dyDescent="0.25">
      <c r="A116" s="2" t="s">
        <v>112</v>
      </c>
      <c r="B116" s="2" t="s">
        <v>112</v>
      </c>
      <c r="C116" s="68">
        <f>'SLR Raw'!C118+'SLR Raw'!W118</f>
        <v>0</v>
      </c>
      <c r="D116" s="68">
        <f>'SLR Raw'!D118+'SLR Raw'!X118</f>
        <v>0</v>
      </c>
      <c r="E116" s="68">
        <f>'SLR Raw'!E118+'SLR Raw'!Y118</f>
        <v>0</v>
      </c>
      <c r="F116" s="68">
        <f>'SLR Raw'!F118+'SLR Raw'!Z118</f>
        <v>0</v>
      </c>
      <c r="G116" s="68">
        <f>'SLR Raw'!G118+'SLR Raw'!AA118</f>
        <v>0</v>
      </c>
      <c r="H116" s="68">
        <f>'SLR Raw'!H118+'SLR Raw'!AB118</f>
        <v>0</v>
      </c>
      <c r="I116" s="68">
        <f>'SLR Raw'!I118+'SLR Raw'!AC118</f>
        <v>0</v>
      </c>
      <c r="J116" s="68">
        <f>'SLR Raw'!J118+'SLR Raw'!AD118</f>
        <v>0</v>
      </c>
      <c r="K116" s="68">
        <f>'SLR Raw'!M118+'SLR Raw'!AE118</f>
        <v>0</v>
      </c>
      <c r="L116" s="68">
        <f>'SLR Raw'!N118+'SLR Raw'!AF118</f>
        <v>0</v>
      </c>
      <c r="M116" s="68">
        <f>'SLR Raw'!O118+'SLR Raw'!AG118</f>
        <v>0</v>
      </c>
      <c r="N116" s="68">
        <f>'SLR Raw'!P118+'SLR Raw'!AH118</f>
        <v>0</v>
      </c>
      <c r="O116" s="68">
        <f>'SLR Raw'!Q118+'SLR Raw'!AI118</f>
        <v>0</v>
      </c>
      <c r="P116" s="68">
        <f>'SLR Raw'!R118+'SLR Raw'!AJ118</f>
        <v>0</v>
      </c>
      <c r="Q116" s="68">
        <f>'SLR Raw'!S118+'SLR Raw'!AK118</f>
        <v>0</v>
      </c>
      <c r="R116" s="68">
        <f>'SLR Raw'!T118+'SLR Raw'!AL118</f>
        <v>0</v>
      </c>
      <c r="S116" s="68">
        <f>'SLR Raw'!U118+'SLR Raw'!AM118</f>
        <v>0</v>
      </c>
      <c r="T116" s="68">
        <f>'SLR Raw'!V118+'SLR Raw'!AN118</f>
        <v>0</v>
      </c>
      <c r="U116" s="221">
        <f t="shared" si="6"/>
        <v>0</v>
      </c>
      <c r="V116" s="14">
        <v>2732</v>
      </c>
      <c r="W116" s="14">
        <v>1034</v>
      </c>
      <c r="X116" s="75">
        <f>C116/'FEMA Flood Zones'!$J114</f>
        <v>0</v>
      </c>
      <c r="Y116" s="74">
        <f>D116/'FEMA Flood Zones'!$K114</f>
        <v>0</v>
      </c>
      <c r="Z116" s="74">
        <f>E116/'FEMA Flood Zones'!$J114</f>
        <v>0</v>
      </c>
      <c r="AA116" s="74">
        <f>F116/'FEMA Flood Zones'!$K114</f>
        <v>0</v>
      </c>
      <c r="AB116" s="74">
        <f>G116/'FEMA Flood Zones'!$J114</f>
        <v>0</v>
      </c>
      <c r="AC116" s="74">
        <f>H116/'FEMA Flood Zones'!$K114</f>
        <v>0</v>
      </c>
      <c r="AD116" s="74">
        <f>I116/'FEMA Flood Zones'!$J114</f>
        <v>0</v>
      </c>
      <c r="AE116" s="74">
        <f>J116/'FEMA Flood Zones'!$K114</f>
        <v>0</v>
      </c>
      <c r="AF116" s="74">
        <f>K116/'FEMA Flood Zones'!$J114</f>
        <v>0</v>
      </c>
      <c r="AG116" s="74">
        <f>L116/'FEMA Flood Zones'!$K114</f>
        <v>0</v>
      </c>
      <c r="AH116" s="74">
        <f>M116/'FEMA Flood Zones'!$J114</f>
        <v>0</v>
      </c>
      <c r="AI116" s="74">
        <f>N116/'FEMA Flood Zones'!$K114</f>
        <v>0</v>
      </c>
      <c r="AJ116" s="74">
        <f>O116/'FEMA Flood Zones'!$J114</f>
        <v>0</v>
      </c>
      <c r="AK116" s="74">
        <f>P116/'FEMA Flood Zones'!$K114</f>
        <v>0</v>
      </c>
      <c r="AL116" s="74">
        <f>Q116/'FEMA Flood Zones'!$J114</f>
        <v>0</v>
      </c>
      <c r="AM116" s="74">
        <f>R116/'FEMA Flood Zones'!$K114</f>
        <v>0</v>
      </c>
      <c r="AN116" s="74">
        <f>S116/'FEMA Flood Zones'!$J114</f>
        <v>0</v>
      </c>
      <c r="AO116" s="74">
        <f>T116/'FEMA Flood Zones'!$K114</f>
        <v>0</v>
      </c>
      <c r="AP116" s="224">
        <f t="shared" si="7"/>
        <v>0</v>
      </c>
      <c r="AQ116" s="4">
        <f t="shared" si="9"/>
        <v>60</v>
      </c>
      <c r="AR116" s="210">
        <f t="shared" si="8"/>
        <v>60</v>
      </c>
    </row>
    <row r="117" spans="1:44" x14ac:dyDescent="0.25">
      <c r="A117" s="2" t="s">
        <v>112</v>
      </c>
      <c r="B117" s="2" t="s">
        <v>119</v>
      </c>
      <c r="C117" s="68">
        <f>'SLR Raw'!C119+'SLR Raw'!W119</f>
        <v>79</v>
      </c>
      <c r="D117" s="68">
        <f>'SLR Raw'!D119+'SLR Raw'!X119</f>
        <v>3</v>
      </c>
      <c r="E117" s="68">
        <f>'SLR Raw'!E119+'SLR Raw'!Y119</f>
        <v>87</v>
      </c>
      <c r="F117" s="68">
        <f>'SLR Raw'!F119+'SLR Raw'!Z119</f>
        <v>3</v>
      </c>
      <c r="G117" s="68">
        <f>'SLR Raw'!G119+'SLR Raw'!AA119</f>
        <v>102</v>
      </c>
      <c r="H117" s="68">
        <f>'SLR Raw'!H119+'SLR Raw'!AB119</f>
        <v>4</v>
      </c>
      <c r="I117" s="68">
        <f>'SLR Raw'!I119+'SLR Raw'!AC119</f>
        <v>119</v>
      </c>
      <c r="J117" s="68">
        <f>'SLR Raw'!J119+'SLR Raw'!AD119</f>
        <v>6</v>
      </c>
      <c r="K117" s="68">
        <f>'SLR Raw'!M119+'SLR Raw'!AE119</f>
        <v>135</v>
      </c>
      <c r="L117" s="68">
        <f>'SLR Raw'!N119+'SLR Raw'!AF119</f>
        <v>9</v>
      </c>
      <c r="M117" s="68">
        <f>'SLR Raw'!O119+'SLR Raw'!AG119</f>
        <v>151</v>
      </c>
      <c r="N117" s="68">
        <f>'SLR Raw'!P119+'SLR Raw'!AH119</f>
        <v>12</v>
      </c>
      <c r="O117" s="68">
        <f>'SLR Raw'!Q119+'SLR Raw'!AI119</f>
        <v>165</v>
      </c>
      <c r="P117" s="68">
        <f>'SLR Raw'!R119+'SLR Raw'!AJ119</f>
        <v>14</v>
      </c>
      <c r="Q117" s="68">
        <f>'SLR Raw'!S119+'SLR Raw'!AK119</f>
        <v>174</v>
      </c>
      <c r="R117" s="68">
        <f>'SLR Raw'!T119+'SLR Raw'!AL119</f>
        <v>15</v>
      </c>
      <c r="S117" s="68">
        <f>'SLR Raw'!U119+'SLR Raw'!AM119</f>
        <v>196</v>
      </c>
      <c r="T117" s="68">
        <f>'SLR Raw'!V119+'SLR Raw'!AN119</f>
        <v>17</v>
      </c>
      <c r="U117" s="221">
        <f t="shared" si="6"/>
        <v>213</v>
      </c>
      <c r="V117" s="14">
        <v>48377</v>
      </c>
      <c r="W117" s="14">
        <v>3023</v>
      </c>
      <c r="X117" s="75">
        <f>C117/'FEMA Flood Zones'!$J115</f>
        <v>1.6330074208818241E-3</v>
      </c>
      <c r="Y117" s="74">
        <f>D117/'FEMA Flood Zones'!$K115</f>
        <v>9.9239166391002311E-4</v>
      </c>
      <c r="Z117" s="74">
        <f>E117/'FEMA Flood Zones'!$J115</f>
        <v>1.7983752609711226E-3</v>
      </c>
      <c r="AA117" s="74">
        <f>F117/'FEMA Flood Zones'!$K115</f>
        <v>9.9239166391002311E-4</v>
      </c>
      <c r="AB117" s="74">
        <f>G117/'FEMA Flood Zones'!$J115</f>
        <v>2.1084399611385578E-3</v>
      </c>
      <c r="AC117" s="74">
        <f>H117/'FEMA Flood Zones'!$K115</f>
        <v>1.3231888852133643E-3</v>
      </c>
      <c r="AD117" s="74">
        <f>I117/'FEMA Flood Zones'!$J115</f>
        <v>2.4598466213283173E-3</v>
      </c>
      <c r="AE117" s="74">
        <f>J117/'FEMA Flood Zones'!$K115</f>
        <v>1.9847833278200462E-3</v>
      </c>
      <c r="AF117" s="74">
        <f>K117/'FEMA Flood Zones'!$J115</f>
        <v>2.7905823015069143E-3</v>
      </c>
      <c r="AG117" s="74">
        <f>L117/'FEMA Flood Zones'!$K115</f>
        <v>2.9771749917300696E-3</v>
      </c>
      <c r="AH117" s="74">
        <f>M117/'FEMA Flood Zones'!$J115</f>
        <v>3.1213179816855117E-3</v>
      </c>
      <c r="AI117" s="74">
        <f>N117/'FEMA Flood Zones'!$K115</f>
        <v>3.9695666556400925E-3</v>
      </c>
      <c r="AJ117" s="74">
        <f>O117/'FEMA Flood Zones'!$J115</f>
        <v>3.4107117018417842E-3</v>
      </c>
      <c r="AK117" s="74">
        <f>P117/'FEMA Flood Zones'!$K115</f>
        <v>4.6311610982467744E-3</v>
      </c>
      <c r="AL117" s="74">
        <f>Q117/'FEMA Flood Zones'!$J115</f>
        <v>3.5967505219422452E-3</v>
      </c>
      <c r="AM117" s="74">
        <f>R117/'FEMA Flood Zones'!$K115</f>
        <v>4.9619583195501154E-3</v>
      </c>
      <c r="AN117" s="74">
        <f>S117/'FEMA Flood Zones'!$J115</f>
        <v>4.0515120821878166E-3</v>
      </c>
      <c r="AO117" s="74">
        <f>T117/'FEMA Flood Zones'!$K115</f>
        <v>5.6235527621567982E-3</v>
      </c>
      <c r="AP117" s="224">
        <f t="shared" si="7"/>
        <v>4.1439688715953311E-3</v>
      </c>
      <c r="AQ117" s="4">
        <f t="shared" si="9"/>
        <v>39</v>
      </c>
      <c r="AR117" s="210">
        <f t="shared" si="8"/>
        <v>50</v>
      </c>
    </row>
    <row r="118" spans="1:44" x14ac:dyDescent="0.25">
      <c r="A118" s="15" t="s">
        <v>112</v>
      </c>
      <c r="B118" s="15" t="s">
        <v>120</v>
      </c>
      <c r="C118" s="69">
        <f>'SLR Raw'!C120+'SLR Raw'!W120</f>
        <v>0</v>
      </c>
      <c r="D118" s="69">
        <f>'SLR Raw'!D120+'SLR Raw'!X120</f>
        <v>0</v>
      </c>
      <c r="E118" s="69">
        <f>'SLR Raw'!E120+'SLR Raw'!Y120</f>
        <v>0</v>
      </c>
      <c r="F118" s="69">
        <f>'SLR Raw'!F120+'SLR Raw'!Z120</f>
        <v>0</v>
      </c>
      <c r="G118" s="69">
        <f>'SLR Raw'!G120+'SLR Raw'!AA120</f>
        <v>0</v>
      </c>
      <c r="H118" s="69">
        <f>'SLR Raw'!H120+'SLR Raw'!AB120</f>
        <v>0</v>
      </c>
      <c r="I118" s="69">
        <f>'SLR Raw'!I120+'SLR Raw'!AC120</f>
        <v>0</v>
      </c>
      <c r="J118" s="69">
        <f>'SLR Raw'!J120+'SLR Raw'!AD120</f>
        <v>0</v>
      </c>
      <c r="K118" s="69">
        <f>'SLR Raw'!M120+'SLR Raw'!AE120</f>
        <v>0</v>
      </c>
      <c r="L118" s="69">
        <f>'SLR Raw'!N120+'SLR Raw'!AF120</f>
        <v>0</v>
      </c>
      <c r="M118" s="69">
        <f>'SLR Raw'!O120+'SLR Raw'!AG120</f>
        <v>0</v>
      </c>
      <c r="N118" s="69">
        <f>'SLR Raw'!P120+'SLR Raw'!AH120</f>
        <v>0</v>
      </c>
      <c r="O118" s="69">
        <f>'SLR Raw'!Q120+'SLR Raw'!AI120</f>
        <v>0</v>
      </c>
      <c r="P118" s="69">
        <f>'SLR Raw'!R120+'SLR Raw'!AJ120</f>
        <v>0</v>
      </c>
      <c r="Q118" s="69">
        <f>'SLR Raw'!S120+'SLR Raw'!AK120</f>
        <v>0</v>
      </c>
      <c r="R118" s="69">
        <f>'SLR Raw'!T120+'SLR Raw'!AL120</f>
        <v>0</v>
      </c>
      <c r="S118" s="69">
        <f>'SLR Raw'!U120+'SLR Raw'!AM120</f>
        <v>0</v>
      </c>
      <c r="T118" s="69">
        <f>'SLR Raw'!V120+'SLR Raw'!AN120</f>
        <v>0</v>
      </c>
      <c r="U118" s="222">
        <f t="shared" si="6"/>
        <v>0</v>
      </c>
      <c r="V118" s="18">
        <v>7371</v>
      </c>
      <c r="W118" s="18">
        <v>694</v>
      </c>
      <c r="X118" s="76">
        <f>C118/'FEMA Flood Zones'!$J116</f>
        <v>0</v>
      </c>
      <c r="Y118" s="73">
        <f>D118/'FEMA Flood Zones'!$K116</f>
        <v>0</v>
      </c>
      <c r="Z118" s="73">
        <f>E118/'FEMA Flood Zones'!$J116</f>
        <v>0</v>
      </c>
      <c r="AA118" s="73">
        <f>F118/'FEMA Flood Zones'!$K116</f>
        <v>0</v>
      </c>
      <c r="AB118" s="73">
        <f>G118/'FEMA Flood Zones'!$J116</f>
        <v>0</v>
      </c>
      <c r="AC118" s="73">
        <f>H118/'FEMA Flood Zones'!$K116</f>
        <v>0</v>
      </c>
      <c r="AD118" s="73">
        <f>I118/'FEMA Flood Zones'!$J116</f>
        <v>0</v>
      </c>
      <c r="AE118" s="73">
        <f>J118/'FEMA Flood Zones'!$K116</f>
        <v>0</v>
      </c>
      <c r="AF118" s="73">
        <f>K118/'FEMA Flood Zones'!$J116</f>
        <v>0</v>
      </c>
      <c r="AG118" s="73">
        <f>L118/'FEMA Flood Zones'!$K116</f>
        <v>0</v>
      </c>
      <c r="AH118" s="73">
        <f>M118/'FEMA Flood Zones'!$J116</f>
        <v>0</v>
      </c>
      <c r="AI118" s="73">
        <f>N118/'FEMA Flood Zones'!$K116</f>
        <v>0</v>
      </c>
      <c r="AJ118" s="73">
        <f>O118/'FEMA Flood Zones'!$J116</f>
        <v>0</v>
      </c>
      <c r="AK118" s="73">
        <f>P118/'FEMA Flood Zones'!$K116</f>
        <v>0</v>
      </c>
      <c r="AL118" s="73">
        <f>Q118/'FEMA Flood Zones'!$J116</f>
        <v>0</v>
      </c>
      <c r="AM118" s="73">
        <f>R118/'FEMA Flood Zones'!$K116</f>
        <v>0</v>
      </c>
      <c r="AN118" s="73">
        <f>S118/'FEMA Flood Zones'!$J116</f>
        <v>0</v>
      </c>
      <c r="AO118" s="73">
        <f>T118/'FEMA Flood Zones'!$K116</f>
        <v>0</v>
      </c>
      <c r="AP118" s="225">
        <f t="shared" si="7"/>
        <v>0</v>
      </c>
      <c r="AQ118" s="164">
        <f t="shared" si="9"/>
        <v>60</v>
      </c>
      <c r="AR118" s="211">
        <f t="shared" si="8"/>
        <v>60</v>
      </c>
    </row>
  </sheetData>
  <autoFilter ref="AR1:AR118" xr:uid="{A0BF0557-75D7-4859-8887-9B5B69D597FC}"/>
  <mergeCells count="28">
    <mergeCell ref="AB8:AC8"/>
    <mergeCell ref="O8:P8"/>
    <mergeCell ref="Q8:R8"/>
    <mergeCell ref="S8:T8"/>
    <mergeCell ref="Q2:X2"/>
    <mergeCell ref="V8:W8"/>
    <mergeCell ref="Z8:AA8"/>
    <mergeCell ref="A2:N2"/>
    <mergeCell ref="M8:N8"/>
    <mergeCell ref="C8:D8"/>
    <mergeCell ref="E8:F8"/>
    <mergeCell ref="G8:H8"/>
    <mergeCell ref="AQ8:AQ9"/>
    <mergeCell ref="AR8:AR9"/>
    <mergeCell ref="AQ7:AR7"/>
    <mergeCell ref="Q1:AB1"/>
    <mergeCell ref="A3:N5"/>
    <mergeCell ref="I8:J8"/>
    <mergeCell ref="K8:L8"/>
    <mergeCell ref="AD8:AE8"/>
    <mergeCell ref="AF8:AG8"/>
    <mergeCell ref="AH8:AI8"/>
    <mergeCell ref="AJ8:AK8"/>
    <mergeCell ref="AL8:AM8"/>
    <mergeCell ref="C7:U7"/>
    <mergeCell ref="X7:AP7"/>
    <mergeCell ref="AN8:AO8"/>
    <mergeCell ref="X8:Y8"/>
  </mergeCells>
  <conditionalFormatting sqref="X10:AP118">
    <cfRule type="colorScale" priority="2">
      <colorScale>
        <cfvo type="min"/>
        <cfvo type="max"/>
        <color rgb="FFFCFCFF"/>
        <color rgb="FF63BE7B"/>
      </colorScale>
    </cfRule>
  </conditionalFormatting>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B565-7D9B-437B-91C8-F9BDC51F9B4B}">
  <dimension ref="A1:N26"/>
  <sheetViews>
    <sheetView workbookViewId="0">
      <pane ySplit="7" topLeftCell="A8" activePane="bottomLeft" state="frozen"/>
      <selection pane="bottomLeft" activeCell="G28" sqref="G28"/>
    </sheetView>
  </sheetViews>
  <sheetFormatPr defaultRowHeight="15" x14ac:dyDescent="0.25"/>
  <cols>
    <col min="1" max="1" width="12.42578125" customWidth="1"/>
    <col min="2" max="2" width="22.5703125" customWidth="1"/>
    <col min="3" max="3" width="13.28515625" customWidth="1"/>
    <col min="6" max="6" width="8.7109375" customWidth="1"/>
  </cols>
  <sheetData>
    <row r="1" spans="1:14" ht="18.75" x14ac:dyDescent="0.3">
      <c r="A1" s="64" t="s">
        <v>181</v>
      </c>
    </row>
    <row r="2" spans="1:14" x14ac:dyDescent="0.25">
      <c r="A2" s="281" t="s">
        <v>189</v>
      </c>
      <c r="B2" s="281"/>
      <c r="C2" s="281"/>
      <c r="D2" s="281"/>
      <c r="E2" s="281"/>
      <c r="F2" s="281"/>
      <c r="G2" s="281"/>
      <c r="H2" s="281"/>
      <c r="I2" s="281"/>
      <c r="J2" s="281"/>
      <c r="K2" s="281"/>
      <c r="L2" s="281"/>
      <c r="M2" s="281"/>
      <c r="N2" s="281"/>
    </row>
    <row r="3" spans="1:14" x14ac:dyDescent="0.25">
      <c r="A3" s="281"/>
      <c r="B3" s="281"/>
      <c r="C3" s="281"/>
      <c r="D3" s="281"/>
      <c r="E3" s="281"/>
      <c r="F3" s="281"/>
      <c r="G3" s="281"/>
      <c r="H3" s="281"/>
      <c r="I3" s="281"/>
      <c r="J3" s="281"/>
      <c r="K3" s="281"/>
      <c r="L3" s="281"/>
      <c r="M3" s="281"/>
      <c r="N3" s="281"/>
    </row>
    <row r="4" spans="1:14" x14ac:dyDescent="0.25">
      <c r="A4" s="66"/>
      <c r="B4" s="66"/>
      <c r="C4" s="66"/>
      <c r="D4" s="66"/>
      <c r="E4" s="66"/>
      <c r="F4" s="66"/>
      <c r="G4" s="66"/>
      <c r="H4" s="66"/>
      <c r="I4" s="66"/>
      <c r="J4" s="66"/>
      <c r="K4" s="66"/>
      <c r="L4" s="66"/>
      <c r="M4" s="66"/>
      <c r="N4" s="66"/>
    </row>
    <row r="6" spans="1:14" x14ac:dyDescent="0.25">
      <c r="D6" s="282" t="s">
        <v>183</v>
      </c>
      <c r="E6" s="282"/>
      <c r="F6" s="283" t="s">
        <v>184</v>
      </c>
      <c r="G6" s="283"/>
      <c r="H6" s="283"/>
      <c r="I6" s="284" t="s">
        <v>185</v>
      </c>
      <c r="J6" s="284"/>
      <c r="K6" s="284"/>
      <c r="L6" s="285" t="s">
        <v>178</v>
      </c>
      <c r="M6" s="285"/>
      <c r="N6" s="285"/>
    </row>
    <row r="7" spans="1:14" ht="30" x14ac:dyDescent="0.25">
      <c r="A7" s="65" t="s">
        <v>182</v>
      </c>
      <c r="B7" s="65" t="s">
        <v>11</v>
      </c>
      <c r="C7" s="65" t="s">
        <v>188</v>
      </c>
      <c r="D7" s="65" t="s">
        <v>12</v>
      </c>
      <c r="E7" s="65" t="s">
        <v>13</v>
      </c>
      <c r="F7" s="65" t="s">
        <v>12</v>
      </c>
      <c r="G7" s="65" t="s">
        <v>13</v>
      </c>
      <c r="H7" s="65" t="s">
        <v>163</v>
      </c>
      <c r="I7" s="65" t="s">
        <v>12</v>
      </c>
      <c r="J7" s="65" t="s">
        <v>13</v>
      </c>
      <c r="K7" s="10" t="s">
        <v>163</v>
      </c>
      <c r="L7" s="65" t="s">
        <v>12</v>
      </c>
      <c r="M7" s="65" t="s">
        <v>13</v>
      </c>
      <c r="N7" s="65" t="s">
        <v>163</v>
      </c>
    </row>
    <row r="8" spans="1:14" x14ac:dyDescent="0.25">
      <c r="A8" t="s">
        <v>16</v>
      </c>
      <c r="B8" t="s">
        <v>94</v>
      </c>
      <c r="C8" t="s">
        <v>87</v>
      </c>
      <c r="D8" s="2">
        <v>1</v>
      </c>
      <c r="E8" s="2">
        <v>0</v>
      </c>
      <c r="F8" s="2">
        <v>0</v>
      </c>
      <c r="G8" s="2">
        <v>0</v>
      </c>
      <c r="H8" s="2"/>
      <c r="I8" s="2">
        <v>1</v>
      </c>
      <c r="J8" s="2">
        <v>0</v>
      </c>
      <c r="K8" t="s">
        <v>187</v>
      </c>
    </row>
    <row r="9" spans="1:14" x14ac:dyDescent="0.25">
      <c r="A9" t="s">
        <v>16</v>
      </c>
      <c r="B9" t="s">
        <v>49</v>
      </c>
      <c r="C9" t="s">
        <v>30</v>
      </c>
      <c r="D9" s="2">
        <v>94</v>
      </c>
      <c r="E9" s="2">
        <v>2</v>
      </c>
      <c r="F9" s="2">
        <v>43</v>
      </c>
      <c r="G9" s="2">
        <v>0</v>
      </c>
      <c r="H9" t="s">
        <v>0</v>
      </c>
      <c r="I9">
        <v>0</v>
      </c>
      <c r="J9">
        <v>0</v>
      </c>
    </row>
    <row r="10" spans="1:14" x14ac:dyDescent="0.25">
      <c r="F10" s="2">
        <v>43</v>
      </c>
      <c r="G10" s="2">
        <v>2</v>
      </c>
      <c r="H10" t="s">
        <v>2</v>
      </c>
    </row>
    <row r="11" spans="1:14" x14ac:dyDescent="0.25">
      <c r="A11" t="s">
        <v>30</v>
      </c>
      <c r="B11" t="s">
        <v>17</v>
      </c>
      <c r="C11" t="s">
        <v>16</v>
      </c>
      <c r="D11" s="2">
        <v>20</v>
      </c>
      <c r="E11" s="2">
        <v>1</v>
      </c>
      <c r="F11" s="2">
        <v>0</v>
      </c>
      <c r="G11" s="2">
        <v>0</v>
      </c>
      <c r="I11">
        <v>0</v>
      </c>
      <c r="J11">
        <v>1</v>
      </c>
      <c r="K11" t="s">
        <v>186</v>
      </c>
    </row>
    <row r="12" spans="1:14" x14ac:dyDescent="0.25">
      <c r="D12" s="2"/>
      <c r="E12" s="2"/>
      <c r="F12" s="2">
        <v>0</v>
      </c>
      <c r="G12" s="2">
        <v>0</v>
      </c>
      <c r="I12">
        <v>1</v>
      </c>
      <c r="J12">
        <v>0</v>
      </c>
      <c r="K12" t="s">
        <v>187</v>
      </c>
    </row>
    <row r="13" spans="1:14" x14ac:dyDescent="0.25">
      <c r="A13" t="s">
        <v>30</v>
      </c>
      <c r="B13" t="s">
        <v>18</v>
      </c>
      <c r="C13" t="s">
        <v>16</v>
      </c>
      <c r="D13" s="2">
        <v>39</v>
      </c>
      <c r="E13" s="2">
        <v>7</v>
      </c>
      <c r="F13">
        <v>35</v>
      </c>
      <c r="G13">
        <v>6</v>
      </c>
      <c r="H13" t="s">
        <v>2</v>
      </c>
      <c r="I13">
        <v>0</v>
      </c>
      <c r="J13">
        <v>1</v>
      </c>
      <c r="K13" t="s">
        <v>187</v>
      </c>
    </row>
    <row r="14" spans="1:14" x14ac:dyDescent="0.25">
      <c r="A14" t="s">
        <v>30</v>
      </c>
      <c r="B14" t="s">
        <v>19</v>
      </c>
      <c r="C14" t="s">
        <v>16</v>
      </c>
      <c r="D14" s="2">
        <v>1</v>
      </c>
      <c r="E14" s="2">
        <v>0</v>
      </c>
      <c r="F14">
        <v>0</v>
      </c>
      <c r="G14">
        <v>0</v>
      </c>
      <c r="I14">
        <v>1</v>
      </c>
      <c r="J14">
        <v>0</v>
      </c>
      <c r="K14" t="s">
        <v>186</v>
      </c>
    </row>
    <row r="15" spans="1:14" x14ac:dyDescent="0.25">
      <c r="A15" t="s">
        <v>64</v>
      </c>
      <c r="B15" t="s">
        <v>109</v>
      </c>
      <c r="C15" t="s">
        <v>103</v>
      </c>
      <c r="D15" s="2">
        <v>4</v>
      </c>
      <c r="E15" s="2">
        <v>0</v>
      </c>
      <c r="F15">
        <v>3</v>
      </c>
      <c r="G15">
        <v>0</v>
      </c>
      <c r="H15" t="s">
        <v>1</v>
      </c>
      <c r="I15">
        <v>0</v>
      </c>
      <c r="J15">
        <v>0</v>
      </c>
    </row>
    <row r="16" spans="1:14" x14ac:dyDescent="0.25">
      <c r="A16" t="s">
        <v>64</v>
      </c>
      <c r="B16" t="s">
        <v>119</v>
      </c>
      <c r="C16" t="s">
        <v>112</v>
      </c>
      <c r="D16" s="2">
        <v>8</v>
      </c>
      <c r="E16" s="2">
        <v>0</v>
      </c>
      <c r="F16">
        <v>1</v>
      </c>
      <c r="G16">
        <v>0</v>
      </c>
      <c r="H16" t="s">
        <v>0</v>
      </c>
      <c r="I16">
        <v>0</v>
      </c>
      <c r="J16">
        <v>0</v>
      </c>
    </row>
    <row r="17" spans="1:14" x14ac:dyDescent="0.25">
      <c r="A17" t="s">
        <v>69</v>
      </c>
      <c r="B17" t="s">
        <v>98</v>
      </c>
      <c r="C17" t="s">
        <v>87</v>
      </c>
      <c r="D17" s="2">
        <v>3</v>
      </c>
      <c r="E17" s="2">
        <v>0</v>
      </c>
      <c r="F17" s="2">
        <v>0</v>
      </c>
      <c r="G17" s="2">
        <v>0</v>
      </c>
      <c r="I17">
        <v>1</v>
      </c>
      <c r="J17">
        <v>0</v>
      </c>
      <c r="K17" t="s">
        <v>186</v>
      </c>
    </row>
    <row r="18" spans="1:14" x14ac:dyDescent="0.25">
      <c r="A18" t="s">
        <v>69</v>
      </c>
      <c r="B18" t="s">
        <v>68</v>
      </c>
      <c r="C18" t="s">
        <v>68</v>
      </c>
      <c r="D18" s="2">
        <v>37</v>
      </c>
      <c r="E18" s="2">
        <v>1</v>
      </c>
      <c r="F18" s="2">
        <v>0</v>
      </c>
      <c r="G18" s="2">
        <v>0</v>
      </c>
      <c r="H18" s="2"/>
      <c r="I18" s="2">
        <v>0</v>
      </c>
      <c r="J18" s="2">
        <v>0</v>
      </c>
      <c r="K18" s="2"/>
      <c r="L18" s="2">
        <v>0</v>
      </c>
      <c r="M18" s="2">
        <v>0</v>
      </c>
    </row>
    <row r="19" spans="1:14" x14ac:dyDescent="0.25">
      <c r="A19" t="s">
        <v>69</v>
      </c>
      <c r="B19" t="s">
        <v>102</v>
      </c>
      <c r="C19" t="s">
        <v>87</v>
      </c>
      <c r="D19" s="2">
        <v>4</v>
      </c>
      <c r="E19" s="2">
        <v>0</v>
      </c>
      <c r="F19" s="2">
        <v>1</v>
      </c>
      <c r="G19" s="2">
        <v>0</v>
      </c>
      <c r="H19" t="s">
        <v>2</v>
      </c>
      <c r="I19">
        <v>1</v>
      </c>
      <c r="J19">
        <v>0</v>
      </c>
      <c r="K19" t="s">
        <v>187</v>
      </c>
    </row>
    <row r="20" spans="1:14" x14ac:dyDescent="0.25">
      <c r="A20" t="s">
        <v>87</v>
      </c>
      <c r="B20" t="s">
        <v>21</v>
      </c>
      <c r="C20" t="s">
        <v>16</v>
      </c>
      <c r="D20" s="2">
        <v>6</v>
      </c>
      <c r="E20" s="2">
        <v>0</v>
      </c>
      <c r="F20" s="2">
        <v>0</v>
      </c>
      <c r="G20" s="2">
        <v>0</v>
      </c>
      <c r="I20">
        <v>1</v>
      </c>
      <c r="J20">
        <v>0</v>
      </c>
      <c r="K20" t="s">
        <v>186</v>
      </c>
    </row>
    <row r="21" spans="1:14" x14ac:dyDescent="0.25">
      <c r="D21" s="2"/>
      <c r="E21" s="2"/>
      <c r="F21" s="2"/>
      <c r="G21" s="2"/>
      <c r="I21">
        <v>1</v>
      </c>
      <c r="J21">
        <v>0</v>
      </c>
      <c r="K21" t="s">
        <v>187</v>
      </c>
    </row>
    <row r="22" spans="1:14" x14ac:dyDescent="0.25">
      <c r="A22" t="s">
        <v>87</v>
      </c>
      <c r="B22" t="s">
        <v>78</v>
      </c>
      <c r="C22" t="s">
        <v>69</v>
      </c>
      <c r="D22" s="2">
        <v>1</v>
      </c>
      <c r="E22" s="2">
        <v>0</v>
      </c>
      <c r="F22" s="2">
        <v>0</v>
      </c>
      <c r="G22" s="2">
        <v>0</v>
      </c>
      <c r="I22">
        <v>1</v>
      </c>
      <c r="J22">
        <v>0</v>
      </c>
      <c r="K22" t="s">
        <v>186</v>
      </c>
    </row>
    <row r="23" spans="1:14" x14ac:dyDescent="0.25">
      <c r="A23" t="s">
        <v>87</v>
      </c>
      <c r="B23" t="s">
        <v>85</v>
      </c>
      <c r="C23" t="s">
        <v>69</v>
      </c>
      <c r="D23" s="2">
        <v>1</v>
      </c>
      <c r="E23" s="2">
        <v>0</v>
      </c>
      <c r="F23" s="2">
        <v>0</v>
      </c>
      <c r="G23" s="2">
        <v>0</v>
      </c>
      <c r="H23" s="2">
        <v>0</v>
      </c>
      <c r="I23" s="2">
        <v>0</v>
      </c>
    </row>
    <row r="24" spans="1:14" x14ac:dyDescent="0.25">
      <c r="A24" t="s">
        <v>103</v>
      </c>
      <c r="B24" t="s">
        <v>66</v>
      </c>
      <c r="C24" t="s">
        <v>64</v>
      </c>
      <c r="D24" s="2">
        <v>129</v>
      </c>
      <c r="E24" s="2">
        <v>0</v>
      </c>
      <c r="F24" s="2">
        <v>0</v>
      </c>
      <c r="G24" s="2">
        <v>0</v>
      </c>
      <c r="I24" s="2">
        <v>0</v>
      </c>
      <c r="J24">
        <v>0</v>
      </c>
      <c r="L24">
        <v>4</v>
      </c>
      <c r="M24">
        <v>0</v>
      </c>
      <c r="N24" t="s">
        <v>179</v>
      </c>
    </row>
    <row r="25" spans="1:14" x14ac:dyDescent="0.25">
      <c r="D25" s="2"/>
      <c r="E25" s="2"/>
      <c r="L25">
        <v>9</v>
      </c>
      <c r="M25">
        <v>0</v>
      </c>
      <c r="N25" t="s">
        <v>180</v>
      </c>
    </row>
    <row r="26" spans="1:14" s="8" customFormat="1" x14ac:dyDescent="0.25">
      <c r="A26" s="8" t="s">
        <v>3</v>
      </c>
      <c r="D26" s="8">
        <f>SUM(D8:D24)</f>
        <v>348</v>
      </c>
      <c r="E26" s="8">
        <f>SUM(E8:E24)</f>
        <v>11</v>
      </c>
      <c r="F26" s="8">
        <f>SUM(F8:F24)</f>
        <v>126</v>
      </c>
      <c r="G26" s="8">
        <f>SUM(G8:G24)</f>
        <v>8</v>
      </c>
    </row>
  </sheetData>
  <mergeCells count="5">
    <mergeCell ref="A2:N3"/>
    <mergeCell ref="D6:E6"/>
    <mergeCell ref="F6:H6"/>
    <mergeCell ref="I6:K6"/>
    <mergeCell ref="L6:N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0BF9-1391-487A-8EBF-95A72A94A75F}">
  <sheetPr>
    <tabColor theme="9" tint="0.79998168889431442"/>
  </sheetPr>
  <dimension ref="A2:BY135"/>
  <sheetViews>
    <sheetView showGridLines="0" tabSelected="1" zoomScaleNormal="100" workbookViewId="0">
      <selection activeCell="J8" sqref="J8"/>
    </sheetView>
  </sheetViews>
  <sheetFormatPr defaultRowHeight="15" x14ac:dyDescent="0.25"/>
  <cols>
    <col min="1" max="1" width="2.5703125" customWidth="1"/>
    <col min="2" max="2" width="24.5703125" customWidth="1"/>
    <col min="3" max="3" width="13.5703125" customWidth="1"/>
    <col min="4" max="4" width="9.5703125" customWidth="1"/>
    <col min="5" max="5" width="10.28515625" customWidth="1"/>
    <col min="6" max="6" width="12.7109375" customWidth="1"/>
    <col min="7" max="7" width="13.42578125" customWidth="1"/>
    <col min="8" max="8" width="16.28515625" customWidth="1"/>
    <col min="9" max="9" width="14.28515625" customWidth="1"/>
    <col min="10" max="10" width="13" customWidth="1"/>
    <col min="11" max="11" width="14.7109375" customWidth="1"/>
    <col min="12" max="12" width="15" customWidth="1"/>
    <col min="13" max="22" width="10.28515625" customWidth="1"/>
    <col min="23" max="36" width="7.5703125" customWidth="1"/>
    <col min="37" max="77" width="5.42578125" customWidth="1"/>
  </cols>
  <sheetData>
    <row r="2" spans="2:22" ht="31.5" x14ac:dyDescent="0.5">
      <c r="B2" s="125" t="s">
        <v>303</v>
      </c>
    </row>
    <row r="3" spans="2:22" ht="9.9499999999999993" customHeight="1" x14ac:dyDescent="0.25"/>
    <row r="4" spans="2:22" x14ac:dyDescent="0.25">
      <c r="D4" s="162" t="s">
        <v>320</v>
      </c>
    </row>
    <row r="5" spans="2:22" ht="31.5" customHeight="1" x14ac:dyDescent="0.25">
      <c r="B5" s="237" t="s">
        <v>24</v>
      </c>
      <c r="C5" s="237"/>
      <c r="D5" s="241" t="s">
        <v>306</v>
      </c>
      <c r="E5" s="241"/>
      <c r="F5" s="241"/>
      <c r="G5" s="241"/>
      <c r="H5" s="241"/>
      <c r="I5" s="241"/>
      <c r="J5" s="241"/>
    </row>
    <row r="6" spans="2:22" ht="27.75" customHeight="1" x14ac:dyDescent="0.25">
      <c r="B6" s="160"/>
      <c r="C6" s="160"/>
      <c r="D6" s="175"/>
      <c r="E6" s="175"/>
      <c r="F6" s="175"/>
      <c r="G6" s="175"/>
      <c r="H6" s="175"/>
      <c r="I6" s="175"/>
      <c r="J6" s="175"/>
    </row>
    <row r="7" spans="2:22" ht="34.5" customHeight="1" x14ac:dyDescent="0.25">
      <c r="B7" s="232" t="s">
        <v>321</v>
      </c>
      <c r="C7" s="232"/>
      <c r="D7" s="232"/>
      <c r="E7" s="232"/>
      <c r="F7" s="232"/>
      <c r="G7" s="232"/>
      <c r="H7" s="232"/>
      <c r="I7" s="232"/>
      <c r="J7" s="232"/>
      <c r="K7" s="232"/>
      <c r="L7" s="232"/>
      <c r="M7" s="232"/>
      <c r="N7" s="232"/>
      <c r="O7" s="232"/>
      <c r="P7" s="232"/>
      <c r="Q7" s="232"/>
    </row>
    <row r="8" spans="2:22" ht="20.25" customHeight="1" x14ac:dyDescent="0.25">
      <c r="B8" s="176"/>
      <c r="C8" s="176"/>
      <c r="D8" s="176"/>
      <c r="E8" s="176"/>
      <c r="F8" s="176"/>
      <c r="G8" s="176"/>
      <c r="H8" s="176"/>
      <c r="I8" s="176"/>
      <c r="J8" s="176"/>
      <c r="K8" s="176"/>
      <c r="L8" s="176"/>
      <c r="M8" s="176"/>
      <c r="N8" s="176"/>
      <c r="O8" s="176"/>
      <c r="P8" s="176"/>
      <c r="Q8" s="176"/>
    </row>
    <row r="9" spans="2:22" s="2" customFormat="1" ht="17.45" customHeight="1" x14ac:dyDescent="0.25">
      <c r="B9" s="192" t="str">
        <f>VLOOKUP($B$5,$A$27:$BY$135,1,FALSE)</f>
        <v>Oakland</v>
      </c>
      <c r="C9" s="193" t="s">
        <v>309</v>
      </c>
      <c r="D9" s="194"/>
      <c r="E9" s="195"/>
      <c r="F9" s="196" t="str">
        <f>VLOOKUP($B$5,$A$27:$U$135,21,FALSE)</f>
        <v>under</v>
      </c>
      <c r="G9" s="195" t="s">
        <v>342</v>
      </c>
      <c r="H9" s="60"/>
      <c r="I9" s="60"/>
      <c r="J9" s="177"/>
      <c r="K9" s="177"/>
      <c r="L9" s="197"/>
      <c r="M9" s="198"/>
      <c r="N9" s="177"/>
      <c r="O9" s="177"/>
      <c r="P9" s="177"/>
      <c r="Q9" s="177"/>
    </row>
    <row r="10" spans="2:22" s="2" customFormat="1" ht="17.45" customHeight="1" x14ac:dyDescent="0.25">
      <c r="C10" s="199" t="s">
        <v>322</v>
      </c>
      <c r="E10" s="200"/>
      <c r="F10" s="201"/>
      <c r="G10" s="197"/>
      <c r="H10" s="177"/>
      <c r="I10" s="177"/>
      <c r="J10" s="177"/>
      <c r="K10" s="177"/>
      <c r="L10" s="60"/>
      <c r="N10" s="183" t="str">
        <f>VLOOKUP($B$5,$A$27:$BY$135,77,FALSE)</f>
        <v>not flagged</v>
      </c>
      <c r="O10" s="184" t="s">
        <v>310</v>
      </c>
      <c r="P10" s="177"/>
    </row>
    <row r="11" spans="2:22" ht="9.9499999999999993" customHeight="1" x14ac:dyDescent="0.25">
      <c r="D11" s="95"/>
      <c r="E11" s="37"/>
      <c r="F11" s="87"/>
      <c r="G11" s="87"/>
    </row>
    <row r="12" spans="2:22" ht="9.9499999999999993" customHeight="1" x14ac:dyDescent="0.25">
      <c r="C12" s="95"/>
      <c r="D12" s="37"/>
      <c r="E12" s="87"/>
      <c r="F12" s="87"/>
    </row>
    <row r="13" spans="2:22" ht="15.75" x14ac:dyDescent="0.25">
      <c r="B13" s="101" t="s">
        <v>304</v>
      </c>
      <c r="C13" s="102"/>
      <c r="D13" s="102"/>
      <c r="E13" s="103"/>
      <c r="G13" s="101" t="s">
        <v>305</v>
      </c>
      <c r="H13" s="103"/>
      <c r="I13" s="103"/>
      <c r="J13" s="103"/>
      <c r="L13" s="101" t="s">
        <v>345</v>
      </c>
      <c r="M13" s="103"/>
      <c r="N13" s="103"/>
      <c r="O13" s="103"/>
      <c r="P13" s="103"/>
      <c r="Q13" s="103"/>
      <c r="R13" s="103"/>
      <c r="S13" s="103"/>
      <c r="T13" s="103"/>
      <c r="U13" s="103"/>
      <c r="V13" s="13"/>
    </row>
    <row r="14" spans="2:22" ht="31.5" x14ac:dyDescent="0.25">
      <c r="B14" s="87"/>
      <c r="C14" s="106" t="s">
        <v>2</v>
      </c>
      <c r="D14" s="107" t="s">
        <v>307</v>
      </c>
      <c r="E14" s="107" t="s">
        <v>308</v>
      </c>
      <c r="H14" s="189" t="s">
        <v>121</v>
      </c>
      <c r="I14" s="48" t="s">
        <v>122</v>
      </c>
      <c r="J14" s="48" t="s">
        <v>170</v>
      </c>
      <c r="M14" s="190" t="s">
        <v>153</v>
      </c>
      <c r="N14" s="191" t="s">
        <v>154</v>
      </c>
      <c r="O14" s="191" t="s">
        <v>155</v>
      </c>
      <c r="P14" s="191" t="s">
        <v>156</v>
      </c>
      <c r="Q14" s="191" t="s">
        <v>198</v>
      </c>
      <c r="R14" s="191" t="s">
        <v>199</v>
      </c>
      <c r="S14" s="191" t="s">
        <v>200</v>
      </c>
      <c r="T14" s="191" t="s">
        <v>160</v>
      </c>
      <c r="U14" s="191" t="s">
        <v>161</v>
      </c>
      <c r="V14" s="286"/>
    </row>
    <row r="15" spans="2:22" ht="15.75" x14ac:dyDescent="0.25">
      <c r="B15" s="233" t="s">
        <v>164</v>
      </c>
      <c r="C15" s="40">
        <f>VLOOKUP($B$5,$A$27:$U$135,6,FALSE)</f>
        <v>15624</v>
      </c>
      <c r="D15" s="41" t="str">
        <f>VLOOKUP($B$5,$A$27:$U$135,4,FALSE)</f>
        <v>N/A</v>
      </c>
      <c r="E15" s="41" t="str">
        <f>VLOOKUP($B$5,$A$27:$U$135,2,FALSE)</f>
        <v>N/A</v>
      </c>
      <c r="G15" s="233" t="s">
        <v>164</v>
      </c>
      <c r="H15" s="108">
        <f>VLOOKUP($B$5,$A$27:$AJ$135,23,FALSE)</f>
        <v>207</v>
      </c>
      <c r="I15" s="111">
        <f>VLOOKUP($B$5,$A$27:$AJ$135,25,FALSE)</f>
        <v>2919</v>
      </c>
      <c r="J15" s="111">
        <f>VLOOKUP($B$5,$A$27:$AJ$135,27,FALSE)</f>
        <v>1</v>
      </c>
      <c r="L15" s="238" t="s">
        <v>164</v>
      </c>
      <c r="M15" s="108">
        <f>VLOOKUP($B$5,$A$27:$BX$135,37,FALSE)</f>
        <v>4</v>
      </c>
      <c r="N15" s="109">
        <f>VLOOKUP($B$5,$A$27:$BX$135,39,FALSE)</f>
        <v>4</v>
      </c>
      <c r="O15" s="109">
        <f>VLOOKUP($B$5,$A$27:$BX$135,41,FALSE)</f>
        <v>9</v>
      </c>
      <c r="P15" s="108">
        <f>VLOOKUP($B$5,$A$27:$BX$135,43,FALSE)</f>
        <v>81</v>
      </c>
      <c r="Q15" s="108">
        <f>VLOOKUP($B$5,$A$27:$BX$135,45,FALSE)</f>
        <v>464</v>
      </c>
      <c r="R15" s="108">
        <f>VLOOKUP($B$5,$A$27:$BX$135,47,FALSE)</f>
        <v>755</v>
      </c>
      <c r="S15" s="108">
        <f>VLOOKUP($B$5,$A$27:$BX$135,49,FALSE)</f>
        <v>887</v>
      </c>
      <c r="T15" s="108">
        <f>VLOOKUP($B$5,$A$27:$BX$135,51,FALSE)</f>
        <v>1125</v>
      </c>
      <c r="U15" s="108">
        <f>VLOOKUP($B$5,$A$27:$BX$135,53,FALSE)</f>
        <v>1386</v>
      </c>
      <c r="V15" s="111"/>
    </row>
    <row r="16" spans="2:22" ht="15" customHeight="1" x14ac:dyDescent="0.25">
      <c r="B16" s="234"/>
      <c r="C16" s="35">
        <f>VLOOKUP($B$5,$A$27:$U$135,15,FALSE)</f>
        <v>0.23801109012247881</v>
      </c>
      <c r="D16" s="35" t="str">
        <f>VLOOKUP($B$5,$A$27:$U$135,13,FALSE)</f>
        <v>N/A</v>
      </c>
      <c r="E16" s="35" t="str">
        <f>VLOOKUP($B$5,$A$27:$U$135,11,FALSE)</f>
        <v>N/A</v>
      </c>
      <c r="G16" s="234"/>
      <c r="H16" s="110">
        <f>VLOOKUP($B$5,$A$27:$AJ$135,30,FALSE)</f>
        <v>3.1533727377978187E-3</v>
      </c>
      <c r="I16" s="110">
        <f>VLOOKUP($B$5,$A$27:$AJ$135,32,FALSE)</f>
        <v>4.4467125708366341E-2</v>
      </c>
      <c r="J16" s="110">
        <f>VLOOKUP($B$5,$A$27:$AJ$135,34,FALSE)</f>
        <v>1.5233684723660959E-5</v>
      </c>
      <c r="L16" s="239"/>
      <c r="M16" s="110">
        <f>VLOOKUP($B$5,$A$27:$BX$135,57,FALSE)</f>
        <v>6.0934738894643838E-5</v>
      </c>
      <c r="N16" s="110">
        <f>VLOOKUP($B$5,$A$27:$BX$135,59,FALSE)</f>
        <v>6.0934738894643838E-5</v>
      </c>
      <c r="O16" s="110">
        <f>VLOOKUP($B$5,$A$27:$BX$135,61,FALSE)</f>
        <v>1.3710316251294862E-4</v>
      </c>
      <c r="P16" s="110">
        <f>VLOOKUP($B$5,$A$27:$BX$135,63,FALSE)</f>
        <v>1.2339284626165378E-3</v>
      </c>
      <c r="Q16" s="110">
        <f>VLOOKUP($B$5,$A$27:$BX$135,65,FALSE)</f>
        <v>7.0684297117786848E-3</v>
      </c>
      <c r="R16" s="110">
        <f>VLOOKUP($B$5,$A$27:$BX$135,67,FALSE)</f>
        <v>1.1501431966364025E-2</v>
      </c>
      <c r="S16" s="110">
        <f>VLOOKUP($B$5,$A$27:$BX$135,69,FALSE)</f>
        <v>1.3512278349887271E-2</v>
      </c>
      <c r="T16" s="110">
        <f>VLOOKUP($B$5,$A$27:$BX$135,71,FALSE)</f>
        <v>1.7137895314118579E-2</v>
      </c>
      <c r="U16" s="110">
        <f>VLOOKUP($B$5,$A$27:$BX$135,73,FALSE)</f>
        <v>2.1113887026994089E-2</v>
      </c>
      <c r="V16" s="110"/>
    </row>
    <row r="17" spans="1:77" ht="15.75" x14ac:dyDescent="0.25">
      <c r="B17" s="234" t="s">
        <v>165</v>
      </c>
      <c r="C17" s="45">
        <f>VLOOKUP($B$5,$A$27:$U$135,7,FALSE)</f>
        <v>1222</v>
      </c>
      <c r="D17" s="41" t="str">
        <f>VLOOKUP($B$5,$A$27:$U$135,5,FALSE)</f>
        <v>N/A</v>
      </c>
      <c r="E17" s="41" t="str">
        <f>VLOOKUP($B$5,$A$27:$U$135,3,FALSE)</f>
        <v>N/A</v>
      </c>
      <c r="G17" s="234" t="s">
        <v>165</v>
      </c>
      <c r="H17" s="111">
        <f>VLOOKUP($B$5,$A$27:$AJ$135,24,FALSE)</f>
        <v>83</v>
      </c>
      <c r="I17" s="111">
        <f>VLOOKUP($B$5,$A$27:$AJ$135,26,FALSE)</f>
        <v>1225</v>
      </c>
      <c r="J17" s="111">
        <f>VLOOKUP($B$5,$A$27:$AJ$135,28,FALSE)</f>
        <v>0</v>
      </c>
      <c r="L17" s="239" t="s">
        <v>165</v>
      </c>
      <c r="M17" s="111">
        <f>VLOOKUP($B$5,$A$27:$BX$135,38,FALSE)</f>
        <v>0</v>
      </c>
      <c r="N17" s="109">
        <f>VLOOKUP($B$5,$A$27:$BX$135,40,FALSE)</f>
        <v>1</v>
      </c>
      <c r="O17" s="109">
        <f>VLOOKUP($B$5,$A$27:$BX$135,42,FALSE)</f>
        <v>1</v>
      </c>
      <c r="P17" s="109">
        <f>VLOOKUP($B$5,$A$27:$BX$135,44,FALSE)</f>
        <v>7</v>
      </c>
      <c r="Q17" s="109">
        <f>VLOOKUP($B$5,$A$27:$BX$135,46,FALSE)</f>
        <v>152</v>
      </c>
      <c r="R17" s="109">
        <f>VLOOKUP($B$5,$A$27:$BX$135,48,FALSE)</f>
        <v>271</v>
      </c>
      <c r="S17" s="109">
        <f>VLOOKUP($B$5,$A$27:$BX$135,50,FALSE)</f>
        <v>330</v>
      </c>
      <c r="T17" s="109">
        <f>VLOOKUP($B$5,$A$27:$BX$135,52,FALSE)</f>
        <v>456</v>
      </c>
      <c r="U17" s="109">
        <f>VLOOKUP($B$5,$A$27:$BX$135,54,FALSE)</f>
        <v>586</v>
      </c>
      <c r="V17" s="111"/>
    </row>
    <row r="18" spans="1:77" ht="15.75" customHeight="1" thickBot="1" x14ac:dyDescent="0.3">
      <c r="B18" s="235"/>
      <c r="C18" s="36">
        <f>VLOOKUP($B$5,$A$27:$U$135,16,FALSE)</f>
        <v>6.0765788165091997E-2</v>
      </c>
      <c r="D18" s="36" t="str">
        <f>VLOOKUP($B$5,$A$27:$U$135,14,FALSE)</f>
        <v>N/A</v>
      </c>
      <c r="E18" s="36" t="str">
        <f>VLOOKUP($B$5,$A$27:$U$135,12,FALSE)</f>
        <v>N/A</v>
      </c>
      <c r="G18" s="235"/>
      <c r="H18" s="112">
        <f>VLOOKUP($B$5,$A$27:$AJ$135,31,FALSE)</f>
        <v>4.1272998508204871E-3</v>
      </c>
      <c r="I18" s="112">
        <f>VLOOKUP($B$5,$A$27:$AJ$135,33,FALSE)</f>
        <v>6.0914967677772255E-2</v>
      </c>
      <c r="J18" s="112">
        <f>VLOOKUP($B$5,$A$27:$AJ$135,35,FALSE)</f>
        <v>0</v>
      </c>
      <c r="L18" s="240"/>
      <c r="M18" s="112">
        <f>VLOOKUP($B$5,$A$27:$BX$135,58,FALSE)</f>
        <v>0</v>
      </c>
      <c r="N18" s="112">
        <f>VLOOKUP($B$5,$A$27:$BX$135,60,FALSE)</f>
        <v>4.9726504226752858E-5</v>
      </c>
      <c r="O18" s="112">
        <f>VLOOKUP($B$5,$A$27:$BX$135,62,FALSE)</f>
        <v>4.9726504226752858E-5</v>
      </c>
      <c r="P18" s="112">
        <f>VLOOKUP($B$5,$A$27:$BX$135,64,FALSE)</f>
        <v>3.4808552958727002E-4</v>
      </c>
      <c r="Q18" s="112">
        <f>VLOOKUP($B$5,$A$27:$BX$135,66,FALSE)</f>
        <v>7.5584286424664349E-3</v>
      </c>
      <c r="R18" s="112">
        <f>VLOOKUP($B$5,$A$27:$BX$135,68,FALSE)</f>
        <v>1.3475882645450025E-2</v>
      </c>
      <c r="S18" s="112">
        <f>VLOOKUP($B$5,$A$27:$BX$135,70,FALSE)</f>
        <v>1.6409746394828444E-2</v>
      </c>
      <c r="T18" s="112">
        <f>VLOOKUP($B$5,$A$27:$BX$135,72,FALSE)</f>
        <v>2.2675285927399303E-2</v>
      </c>
      <c r="U18" s="112">
        <f>VLOOKUP($B$5,$A$27:$BX$135,74,FALSE)</f>
        <v>2.9139731476877175E-2</v>
      </c>
      <c r="V18" s="110"/>
    </row>
    <row r="19" spans="1:77" ht="20.100000000000001" customHeight="1" thickTop="1" x14ac:dyDescent="0.25">
      <c r="B19" s="43" t="s">
        <v>167</v>
      </c>
      <c r="C19" s="42"/>
      <c r="D19" s="42"/>
      <c r="E19" s="42"/>
      <c r="G19" s="43" t="s">
        <v>171</v>
      </c>
      <c r="L19" s="43" t="s">
        <v>173</v>
      </c>
    </row>
    <row r="20" spans="1:77" ht="60" customHeight="1" x14ac:dyDescent="0.25">
      <c r="B20" s="236" t="s">
        <v>344</v>
      </c>
      <c r="C20" s="236"/>
      <c r="D20" s="236"/>
      <c r="E20" s="236"/>
      <c r="F20" s="159"/>
      <c r="G20" s="159"/>
      <c r="H20" s="159"/>
      <c r="I20" s="159"/>
      <c r="J20" s="159"/>
      <c r="K20" s="159"/>
      <c r="L20" s="288" t="s">
        <v>302</v>
      </c>
      <c r="M20" s="288"/>
      <c r="N20" s="288"/>
      <c r="O20" s="288"/>
      <c r="P20" s="288"/>
      <c r="Q20" s="288"/>
      <c r="R20" s="288"/>
      <c r="S20" s="288"/>
      <c r="T20" s="288"/>
      <c r="U20" s="288"/>
      <c r="V20" s="287"/>
      <c r="W20" s="104"/>
    </row>
    <row r="21" spans="1:77" ht="15" customHeight="1" x14ac:dyDescent="0.25">
      <c r="C21" s="42"/>
      <c r="D21" s="42"/>
      <c r="E21" s="42"/>
      <c r="F21" s="42"/>
      <c r="G21" s="42"/>
      <c r="H21" s="42"/>
      <c r="I21" s="42"/>
      <c r="J21" s="42"/>
      <c r="L21" s="104"/>
      <c r="M21" s="104"/>
      <c r="N21" s="104"/>
      <c r="O21" s="104"/>
      <c r="P21" s="104"/>
      <c r="Q21" s="104"/>
      <c r="R21" s="104"/>
      <c r="S21" s="104"/>
      <c r="T21" s="104"/>
      <c r="U21" s="104"/>
      <c r="V21" s="104"/>
      <c r="W21" s="104"/>
    </row>
    <row r="22" spans="1:77" ht="25.5" customHeight="1" x14ac:dyDescent="0.25">
      <c r="C22" s="42"/>
      <c r="D22" s="42"/>
      <c r="E22" s="42"/>
      <c r="F22" s="42"/>
      <c r="G22" s="42"/>
      <c r="H22" s="42"/>
      <c r="I22" s="42"/>
      <c r="J22" s="42"/>
      <c r="L22" s="85"/>
      <c r="M22" s="85"/>
      <c r="N22" s="85"/>
      <c r="O22" s="85"/>
      <c r="P22" s="85"/>
      <c r="Q22" s="85"/>
      <c r="R22" s="85"/>
      <c r="S22" s="85"/>
      <c r="T22" s="85"/>
      <c r="U22" s="85"/>
      <c r="V22" s="85"/>
      <c r="W22" s="85"/>
    </row>
    <row r="23" spans="1:77" ht="27" customHeight="1" x14ac:dyDescent="0.25"/>
    <row r="24" spans="1:77" ht="15.75" customHeight="1" x14ac:dyDescent="0.25"/>
    <row r="25" spans="1:77" ht="42" hidden="1" customHeight="1" x14ac:dyDescent="0.25">
      <c r="A25">
        <v>1</v>
      </c>
      <c r="B25">
        <v>2</v>
      </c>
      <c r="C25">
        <v>3</v>
      </c>
      <c r="D25">
        <v>4</v>
      </c>
      <c r="E25">
        <v>5</v>
      </c>
      <c r="F25">
        <v>6</v>
      </c>
      <c r="G25">
        <v>7</v>
      </c>
      <c r="H25">
        <v>8</v>
      </c>
      <c r="I25">
        <v>9</v>
      </c>
      <c r="J25">
        <v>10</v>
      </c>
      <c r="K25">
        <v>11</v>
      </c>
      <c r="L25">
        <v>12</v>
      </c>
      <c r="M25">
        <v>13</v>
      </c>
      <c r="N25">
        <v>14</v>
      </c>
      <c r="O25">
        <v>15</v>
      </c>
      <c r="P25">
        <v>16</v>
      </c>
      <c r="Q25">
        <v>17</v>
      </c>
      <c r="R25">
        <v>18</v>
      </c>
      <c r="S25">
        <v>19</v>
      </c>
      <c r="T25">
        <v>20</v>
      </c>
      <c r="U25">
        <v>21</v>
      </c>
      <c r="V25">
        <v>22</v>
      </c>
      <c r="W25">
        <v>23</v>
      </c>
      <c r="X25">
        <v>24</v>
      </c>
      <c r="Y25">
        <v>25</v>
      </c>
      <c r="Z25">
        <v>26</v>
      </c>
      <c r="AA25">
        <v>27</v>
      </c>
      <c r="AB25">
        <v>28</v>
      </c>
      <c r="AC25">
        <v>29</v>
      </c>
      <c r="AD25">
        <v>30</v>
      </c>
      <c r="AE25">
        <v>31</v>
      </c>
      <c r="AF25">
        <v>32</v>
      </c>
      <c r="AG25">
        <v>33</v>
      </c>
      <c r="AH25">
        <v>34</v>
      </c>
      <c r="AI25">
        <v>35</v>
      </c>
      <c r="AJ25">
        <v>36</v>
      </c>
      <c r="AK25">
        <v>37</v>
      </c>
      <c r="AL25">
        <v>38</v>
      </c>
      <c r="AM25">
        <v>39</v>
      </c>
      <c r="AN25">
        <v>40</v>
      </c>
      <c r="AO25">
        <v>41</v>
      </c>
      <c r="AP25">
        <v>42</v>
      </c>
      <c r="AQ25">
        <v>43</v>
      </c>
      <c r="AR25">
        <v>44</v>
      </c>
      <c r="AS25">
        <v>45</v>
      </c>
      <c r="AT25">
        <v>46</v>
      </c>
      <c r="AU25">
        <v>47</v>
      </c>
      <c r="AV25">
        <v>48</v>
      </c>
      <c r="AW25">
        <v>49</v>
      </c>
      <c r="AX25">
        <v>50</v>
      </c>
      <c r="AY25">
        <v>51</v>
      </c>
      <c r="AZ25">
        <v>52</v>
      </c>
      <c r="BA25">
        <v>53</v>
      </c>
      <c r="BB25">
        <v>54</v>
      </c>
      <c r="BC25">
        <v>55</v>
      </c>
      <c r="BD25">
        <v>56</v>
      </c>
      <c r="BE25">
        <v>57</v>
      </c>
      <c r="BF25">
        <v>58</v>
      </c>
      <c r="BG25">
        <v>59</v>
      </c>
      <c r="BH25">
        <v>60</v>
      </c>
      <c r="BI25">
        <v>61</v>
      </c>
      <c r="BJ25">
        <v>62</v>
      </c>
      <c r="BK25">
        <v>63</v>
      </c>
      <c r="BL25">
        <v>64</v>
      </c>
      <c r="BM25">
        <v>65</v>
      </c>
      <c r="BN25">
        <v>66</v>
      </c>
      <c r="BO25">
        <v>67</v>
      </c>
      <c r="BP25">
        <v>68</v>
      </c>
      <c r="BQ25">
        <v>69</v>
      </c>
      <c r="BR25">
        <v>70</v>
      </c>
      <c r="BS25">
        <v>71</v>
      </c>
      <c r="BT25">
        <v>72</v>
      </c>
      <c r="BU25">
        <v>73</v>
      </c>
      <c r="BV25">
        <v>74</v>
      </c>
      <c r="BW25">
        <v>75</v>
      </c>
      <c r="BX25">
        <v>76</v>
      </c>
      <c r="BY25">
        <v>77</v>
      </c>
    </row>
    <row r="26" spans="1:77" ht="15" hidden="1" customHeight="1" x14ac:dyDescent="0.25">
      <c r="A26" s="89" t="s">
        <v>11</v>
      </c>
      <c r="B26" s="97" t="s">
        <v>280</v>
      </c>
      <c r="C26" s="97" t="s">
        <v>281</v>
      </c>
      <c r="D26" s="97" t="s">
        <v>271</v>
      </c>
      <c r="E26" s="97" t="s">
        <v>272</v>
      </c>
      <c r="F26" s="97" t="s">
        <v>273</v>
      </c>
      <c r="G26" s="97" t="s">
        <v>274</v>
      </c>
      <c r="H26" s="97" t="s">
        <v>14</v>
      </c>
      <c r="I26" s="97" t="s">
        <v>202</v>
      </c>
      <c r="J26" s="97" t="s">
        <v>203</v>
      </c>
      <c r="K26" s="97" t="s">
        <v>282</v>
      </c>
      <c r="L26" s="97" t="s">
        <v>283</v>
      </c>
      <c r="M26" s="97" t="s">
        <v>275</v>
      </c>
      <c r="N26" s="97" t="s">
        <v>276</v>
      </c>
      <c r="O26" s="97" t="s">
        <v>277</v>
      </c>
      <c r="P26" s="97" t="s">
        <v>278</v>
      </c>
      <c r="Q26" s="97" t="s">
        <v>204</v>
      </c>
      <c r="R26" s="97" t="s">
        <v>8</v>
      </c>
      <c r="S26" s="97" t="s">
        <v>9</v>
      </c>
      <c r="T26" s="97" t="s">
        <v>15</v>
      </c>
      <c r="U26" s="98" t="s">
        <v>287</v>
      </c>
      <c r="V26" s="99" t="s">
        <v>10</v>
      </c>
      <c r="W26" s="100" t="s">
        <v>205</v>
      </c>
      <c r="X26" s="100" t="s">
        <v>206</v>
      </c>
      <c r="Y26" s="100" t="s">
        <v>207</v>
      </c>
      <c r="Z26" s="100" t="s">
        <v>208</v>
      </c>
      <c r="AA26" s="100" t="s">
        <v>209</v>
      </c>
      <c r="AB26" s="100" t="s">
        <v>210</v>
      </c>
      <c r="AC26" s="100" t="s">
        <v>196</v>
      </c>
      <c r="AD26" s="100" t="s">
        <v>211</v>
      </c>
      <c r="AE26" s="100" t="s">
        <v>212</v>
      </c>
      <c r="AF26" s="100" t="s">
        <v>213</v>
      </c>
      <c r="AG26" s="100" t="s">
        <v>214</v>
      </c>
      <c r="AH26" s="100" t="s">
        <v>215</v>
      </c>
      <c r="AI26" s="100" t="s">
        <v>216</v>
      </c>
      <c r="AJ26" s="100" t="s">
        <v>197</v>
      </c>
      <c r="AK26" s="113" t="s">
        <v>217</v>
      </c>
      <c r="AL26" s="113" t="s">
        <v>218</v>
      </c>
      <c r="AM26" s="113" t="s">
        <v>219</v>
      </c>
      <c r="AN26" s="113" t="s">
        <v>220</v>
      </c>
      <c r="AO26" s="113" t="s">
        <v>221</v>
      </c>
      <c r="AP26" s="113" t="s">
        <v>224</v>
      </c>
      <c r="AQ26" s="113" t="s">
        <v>222</v>
      </c>
      <c r="AR26" s="113" t="s">
        <v>223</v>
      </c>
      <c r="AS26" s="113" t="s">
        <v>225</v>
      </c>
      <c r="AT26" s="113" t="s">
        <v>226</v>
      </c>
      <c r="AU26" s="113" t="s">
        <v>228</v>
      </c>
      <c r="AV26" s="113" t="s">
        <v>227</v>
      </c>
      <c r="AW26" s="113" t="s">
        <v>229</v>
      </c>
      <c r="AX26" s="113" t="s">
        <v>230</v>
      </c>
      <c r="AY26" s="113" t="s">
        <v>231</v>
      </c>
      <c r="AZ26" s="113" t="s">
        <v>232</v>
      </c>
      <c r="BA26" s="113" t="s">
        <v>233</v>
      </c>
      <c r="BB26" s="113" t="s">
        <v>234</v>
      </c>
      <c r="BC26" s="113" t="s">
        <v>235</v>
      </c>
      <c r="BD26" s="113" t="s">
        <v>236</v>
      </c>
      <c r="BE26" s="113" t="s">
        <v>237</v>
      </c>
      <c r="BF26" s="113" t="s">
        <v>238</v>
      </c>
      <c r="BG26" s="113" t="s">
        <v>239</v>
      </c>
      <c r="BH26" s="113" t="s">
        <v>240</v>
      </c>
      <c r="BI26" s="113" t="s">
        <v>241</v>
      </c>
      <c r="BJ26" s="113" t="s">
        <v>242</v>
      </c>
      <c r="BK26" s="113" t="s">
        <v>243</v>
      </c>
      <c r="BL26" s="113" t="s">
        <v>244</v>
      </c>
      <c r="BM26" s="113" t="s">
        <v>245</v>
      </c>
      <c r="BN26" s="113" t="s">
        <v>246</v>
      </c>
      <c r="BO26" s="113" t="s">
        <v>247</v>
      </c>
      <c r="BP26" s="113" t="s">
        <v>248</v>
      </c>
      <c r="BQ26" s="113" t="s">
        <v>249</v>
      </c>
      <c r="BR26" s="113" t="s">
        <v>250</v>
      </c>
      <c r="BS26" s="113" t="s">
        <v>251</v>
      </c>
      <c r="BT26" s="113" t="s">
        <v>252</v>
      </c>
      <c r="BU26" s="113" t="s">
        <v>253</v>
      </c>
      <c r="BV26" s="113" t="s">
        <v>254</v>
      </c>
      <c r="BW26" s="113" t="s">
        <v>255</v>
      </c>
      <c r="BX26" s="113" t="s">
        <v>256</v>
      </c>
      <c r="BY26" s="174" t="s">
        <v>316</v>
      </c>
    </row>
    <row r="27" spans="1:77" hidden="1" x14ac:dyDescent="0.25">
      <c r="A27" s="90" t="s">
        <v>16</v>
      </c>
      <c r="B27" s="90" t="s">
        <v>311</v>
      </c>
      <c r="C27" s="90" t="s">
        <v>311</v>
      </c>
      <c r="D27" s="90" t="s">
        <v>311</v>
      </c>
      <c r="E27" s="90" t="s">
        <v>311</v>
      </c>
      <c r="F27" s="90">
        <v>0</v>
      </c>
      <c r="G27" s="90">
        <v>0</v>
      </c>
      <c r="H27" s="90">
        <v>0</v>
      </c>
      <c r="I27" s="90">
        <v>14144</v>
      </c>
      <c r="J27" s="90">
        <v>3329</v>
      </c>
      <c r="K27" s="91" t="s">
        <v>311</v>
      </c>
      <c r="L27" s="91" t="s">
        <v>311</v>
      </c>
      <c r="M27" s="91" t="s">
        <v>311</v>
      </c>
      <c r="N27" s="91" t="s">
        <v>311</v>
      </c>
      <c r="O27" s="91">
        <v>0</v>
      </c>
      <c r="P27" s="91">
        <v>0</v>
      </c>
      <c r="Q27" s="91">
        <v>0</v>
      </c>
      <c r="R27" s="90">
        <v>46</v>
      </c>
      <c r="S27" s="90">
        <v>46</v>
      </c>
      <c r="T27" s="90" t="s">
        <v>269</v>
      </c>
      <c r="U27" s="96" t="s">
        <v>285</v>
      </c>
      <c r="V27" t="s">
        <v>257</v>
      </c>
      <c r="W27">
        <v>838</v>
      </c>
      <c r="X27">
        <v>107</v>
      </c>
      <c r="Y27">
        <v>3343</v>
      </c>
      <c r="Z27">
        <v>170</v>
      </c>
      <c r="AA27">
        <v>0</v>
      </c>
      <c r="AB27">
        <v>0</v>
      </c>
      <c r="AC27">
        <v>4458</v>
      </c>
      <c r="AD27" s="92">
        <v>5.9247737556561084E-2</v>
      </c>
      <c r="AE27" s="92">
        <v>3.21417843196155E-2</v>
      </c>
      <c r="AF27" s="92">
        <v>0.23635463800904977</v>
      </c>
      <c r="AG27" s="92">
        <v>5.1066386302192852E-2</v>
      </c>
      <c r="AH27" s="92">
        <v>0</v>
      </c>
      <c r="AI27" s="92">
        <v>0</v>
      </c>
      <c r="AJ27" s="92">
        <v>0.25513649630859042</v>
      </c>
      <c r="AK27">
        <v>14</v>
      </c>
      <c r="AL27">
        <v>6</v>
      </c>
      <c r="AM27">
        <v>18</v>
      </c>
      <c r="AN27">
        <v>8</v>
      </c>
      <c r="AO27">
        <v>608</v>
      </c>
      <c r="AP27">
        <v>85</v>
      </c>
      <c r="AQ27">
        <v>1848</v>
      </c>
      <c r="AR27">
        <v>181</v>
      </c>
      <c r="AS27">
        <v>4592</v>
      </c>
      <c r="AT27">
        <v>321</v>
      </c>
      <c r="AU27">
        <v>5778</v>
      </c>
      <c r="AV27">
        <v>445</v>
      </c>
      <c r="AW27">
        <v>6523</v>
      </c>
      <c r="AX27">
        <v>532</v>
      </c>
      <c r="AY27">
        <v>7668</v>
      </c>
      <c r="AZ27">
        <v>693</v>
      </c>
      <c r="BA27">
        <v>8646</v>
      </c>
      <c r="BB27">
        <v>821</v>
      </c>
      <c r="BC27" t="s">
        <v>311</v>
      </c>
      <c r="BD27" t="s">
        <v>311</v>
      </c>
      <c r="BE27" s="92">
        <v>9.8981900452488683E-4</v>
      </c>
      <c r="BF27" s="92">
        <v>1.8023430459597476E-3</v>
      </c>
      <c r="BG27" s="92">
        <v>1.2726244343891403E-3</v>
      </c>
      <c r="BH27" s="92">
        <v>2.4031240612796636E-3</v>
      </c>
      <c r="BI27" s="92">
        <v>4.2986425339366516E-2</v>
      </c>
      <c r="BJ27" s="92">
        <v>2.5533193151096426E-2</v>
      </c>
      <c r="BK27" s="92">
        <v>0.13065610859728508</v>
      </c>
      <c r="BL27" s="92">
        <v>5.4370681886452388E-2</v>
      </c>
      <c r="BM27" s="92">
        <v>0.32466063348416291</v>
      </c>
      <c r="BN27" s="92">
        <v>9.6425352958846494E-2</v>
      </c>
      <c r="BO27" s="92">
        <v>0.40851244343891402</v>
      </c>
      <c r="BP27" s="92">
        <v>0.13367377590868129</v>
      </c>
      <c r="BQ27" s="92">
        <v>0.46118495475113125</v>
      </c>
      <c r="BR27" s="92">
        <v>0.15980775007509762</v>
      </c>
      <c r="BS27" s="92">
        <v>0.54213800904977372</v>
      </c>
      <c r="BT27" s="92">
        <v>0.20817062180835086</v>
      </c>
      <c r="BU27" s="92">
        <v>0.61128393665158376</v>
      </c>
      <c r="BV27" s="92">
        <v>0.24662060678882547</v>
      </c>
      <c r="BW27" s="92" t="s">
        <v>311</v>
      </c>
      <c r="BX27" s="92" t="s">
        <v>311</v>
      </c>
      <c r="BY27" s="92" t="s">
        <v>317</v>
      </c>
    </row>
    <row r="28" spans="1:77" ht="14.25" hidden="1" customHeight="1" x14ac:dyDescent="0.25">
      <c r="A28" s="87" t="s">
        <v>17</v>
      </c>
      <c r="B28" s="87" t="s">
        <v>311</v>
      </c>
      <c r="C28" s="87" t="s">
        <v>311</v>
      </c>
      <c r="D28" s="87" t="s">
        <v>311</v>
      </c>
      <c r="E28" s="87" t="s">
        <v>311</v>
      </c>
      <c r="F28" s="87">
        <v>0</v>
      </c>
      <c r="G28" s="87">
        <v>0</v>
      </c>
      <c r="H28" s="87">
        <v>0</v>
      </c>
      <c r="I28" s="87">
        <v>3634</v>
      </c>
      <c r="J28" s="87">
        <v>480</v>
      </c>
      <c r="K28" s="92" t="s">
        <v>311</v>
      </c>
      <c r="L28" s="92" t="s">
        <v>311</v>
      </c>
      <c r="M28" s="92" t="s">
        <v>311</v>
      </c>
      <c r="N28" s="92" t="s">
        <v>311</v>
      </c>
      <c r="O28" s="92">
        <v>0</v>
      </c>
      <c r="P28" s="92">
        <v>0</v>
      </c>
      <c r="Q28" s="92">
        <v>0</v>
      </c>
      <c r="R28" s="87">
        <v>46</v>
      </c>
      <c r="S28" s="87">
        <v>46</v>
      </c>
      <c r="T28" s="87" t="s">
        <v>269</v>
      </c>
      <c r="U28" s="87" t="s">
        <v>286</v>
      </c>
      <c r="V28" t="s">
        <v>257</v>
      </c>
      <c r="W28">
        <v>31</v>
      </c>
      <c r="X28">
        <v>5</v>
      </c>
      <c r="Y28">
        <v>1</v>
      </c>
      <c r="Z28">
        <v>0</v>
      </c>
      <c r="AA28">
        <v>0</v>
      </c>
      <c r="AB28">
        <v>0</v>
      </c>
      <c r="AC28">
        <v>37</v>
      </c>
      <c r="AD28" s="92">
        <v>8.5305448541552007E-3</v>
      </c>
      <c r="AE28" s="92">
        <v>1.0416666666666666E-2</v>
      </c>
      <c r="AF28" s="92">
        <v>2.7517886626307099E-4</v>
      </c>
      <c r="AG28" s="92">
        <v>0</v>
      </c>
      <c r="AH28" s="92">
        <v>0</v>
      </c>
      <c r="AI28" s="92">
        <v>0</v>
      </c>
      <c r="AJ28" s="92">
        <v>8.9936801166747692E-3</v>
      </c>
      <c r="AK28">
        <v>0</v>
      </c>
      <c r="AL28">
        <v>0</v>
      </c>
      <c r="AM28">
        <v>0</v>
      </c>
      <c r="AN28">
        <v>0</v>
      </c>
      <c r="AO28">
        <v>0</v>
      </c>
      <c r="AP28">
        <v>0</v>
      </c>
      <c r="AQ28">
        <v>0</v>
      </c>
      <c r="AR28">
        <v>0</v>
      </c>
      <c r="AS28">
        <v>0</v>
      </c>
      <c r="AT28">
        <v>0</v>
      </c>
      <c r="AU28">
        <v>0</v>
      </c>
      <c r="AV28">
        <v>0</v>
      </c>
      <c r="AW28">
        <v>0</v>
      </c>
      <c r="AX28">
        <v>0</v>
      </c>
      <c r="AY28">
        <v>0</v>
      </c>
      <c r="AZ28">
        <v>0</v>
      </c>
      <c r="BA28">
        <v>0</v>
      </c>
      <c r="BB28">
        <v>0</v>
      </c>
      <c r="BC28" t="s">
        <v>311</v>
      </c>
      <c r="BD28" t="s">
        <v>311</v>
      </c>
      <c r="BE28" s="92">
        <v>0</v>
      </c>
      <c r="BF28" s="92">
        <v>0</v>
      </c>
      <c r="BG28" s="92">
        <v>0</v>
      </c>
      <c r="BH28" s="92">
        <v>0</v>
      </c>
      <c r="BI28" s="92">
        <v>0</v>
      </c>
      <c r="BJ28" s="92">
        <v>0</v>
      </c>
      <c r="BK28" s="92">
        <v>0</v>
      </c>
      <c r="BL28" s="92">
        <v>0</v>
      </c>
      <c r="BM28" s="92">
        <v>0</v>
      </c>
      <c r="BN28" s="92">
        <v>0</v>
      </c>
      <c r="BO28" s="92">
        <v>0</v>
      </c>
      <c r="BP28" s="92">
        <v>0</v>
      </c>
      <c r="BQ28" s="92">
        <v>0</v>
      </c>
      <c r="BR28" s="92">
        <v>0</v>
      </c>
      <c r="BS28" s="92">
        <v>0</v>
      </c>
      <c r="BT28" s="92">
        <v>0</v>
      </c>
      <c r="BU28" s="92">
        <v>0</v>
      </c>
      <c r="BV28" s="92">
        <v>0</v>
      </c>
      <c r="BW28" s="92" t="s">
        <v>311</v>
      </c>
      <c r="BX28" s="92" t="s">
        <v>311</v>
      </c>
      <c r="BY28" s="92" t="s">
        <v>318</v>
      </c>
    </row>
    <row r="29" spans="1:77" hidden="1" x14ac:dyDescent="0.25">
      <c r="A29" s="86" t="s">
        <v>18</v>
      </c>
      <c r="B29" s="86" t="s">
        <v>311</v>
      </c>
      <c r="C29" s="86" t="s">
        <v>311</v>
      </c>
      <c r="D29" s="86" t="s">
        <v>311</v>
      </c>
      <c r="E29" s="86" t="s">
        <v>311</v>
      </c>
      <c r="F29" s="86">
        <v>3123</v>
      </c>
      <c r="G29" s="86">
        <v>408</v>
      </c>
      <c r="H29" s="86">
        <v>3531</v>
      </c>
      <c r="I29" s="86">
        <v>17041</v>
      </c>
      <c r="J29" s="86">
        <v>6517</v>
      </c>
      <c r="K29" s="93" t="s">
        <v>311</v>
      </c>
      <c r="L29" s="93" t="s">
        <v>311</v>
      </c>
      <c r="M29" s="93" t="s">
        <v>311</v>
      </c>
      <c r="N29" s="93" t="s">
        <v>311</v>
      </c>
      <c r="O29" s="93">
        <v>0.18326389296402792</v>
      </c>
      <c r="P29" s="93">
        <v>6.2605493325149614E-2</v>
      </c>
      <c r="Q29" s="93">
        <v>0.14988538925205874</v>
      </c>
      <c r="R29" s="86">
        <v>4</v>
      </c>
      <c r="S29" s="86">
        <v>14</v>
      </c>
      <c r="T29" s="86" t="s">
        <v>269</v>
      </c>
      <c r="U29" s="86" t="s">
        <v>286</v>
      </c>
      <c r="V29" t="s">
        <v>257</v>
      </c>
      <c r="W29">
        <v>35</v>
      </c>
      <c r="X29">
        <v>2</v>
      </c>
      <c r="Y29">
        <v>117</v>
      </c>
      <c r="Z29">
        <v>11</v>
      </c>
      <c r="AA29">
        <v>0</v>
      </c>
      <c r="AB29">
        <v>0</v>
      </c>
      <c r="AC29">
        <v>165</v>
      </c>
      <c r="AD29" s="92">
        <v>2.0538700780470629E-3</v>
      </c>
      <c r="AE29" s="92">
        <v>3.068896731624981E-4</v>
      </c>
      <c r="AF29" s="92">
        <v>6.8657942609001823E-3</v>
      </c>
      <c r="AG29" s="92">
        <v>1.6878932023937393E-3</v>
      </c>
      <c r="AH29" s="92">
        <v>0</v>
      </c>
      <c r="AI29" s="92">
        <v>0</v>
      </c>
      <c r="AJ29" s="92">
        <v>7.003990151965362E-3</v>
      </c>
      <c r="AK29">
        <v>0</v>
      </c>
      <c r="AL29">
        <v>0</v>
      </c>
      <c r="AM29">
        <v>0</v>
      </c>
      <c r="AN29">
        <v>0</v>
      </c>
      <c r="AO29">
        <v>0</v>
      </c>
      <c r="AP29">
        <v>0</v>
      </c>
      <c r="AQ29">
        <v>0</v>
      </c>
      <c r="AR29">
        <v>0</v>
      </c>
      <c r="AS29">
        <v>0</v>
      </c>
      <c r="AT29">
        <v>0</v>
      </c>
      <c r="AU29">
        <v>0</v>
      </c>
      <c r="AV29">
        <v>0</v>
      </c>
      <c r="AW29">
        <v>0</v>
      </c>
      <c r="AX29">
        <v>0</v>
      </c>
      <c r="AY29">
        <v>6</v>
      </c>
      <c r="AZ29">
        <v>4</v>
      </c>
      <c r="BA29">
        <v>10</v>
      </c>
      <c r="BB29">
        <v>8</v>
      </c>
      <c r="BC29" t="s">
        <v>311</v>
      </c>
      <c r="BD29" t="s">
        <v>311</v>
      </c>
      <c r="BE29" s="92">
        <v>0</v>
      </c>
      <c r="BF29" s="92">
        <v>0</v>
      </c>
      <c r="BG29" s="92">
        <v>0</v>
      </c>
      <c r="BH29" s="92">
        <v>0</v>
      </c>
      <c r="BI29" s="92">
        <v>0</v>
      </c>
      <c r="BJ29" s="92">
        <v>0</v>
      </c>
      <c r="BK29" s="92">
        <v>0</v>
      </c>
      <c r="BL29" s="92">
        <v>0</v>
      </c>
      <c r="BM29" s="92">
        <v>0</v>
      </c>
      <c r="BN29" s="92">
        <v>0</v>
      </c>
      <c r="BO29" s="92">
        <v>0</v>
      </c>
      <c r="BP29" s="92">
        <v>0</v>
      </c>
      <c r="BQ29" s="92">
        <v>0</v>
      </c>
      <c r="BR29" s="92">
        <v>0</v>
      </c>
      <c r="BS29" s="92">
        <v>3.5209201337949649E-4</v>
      </c>
      <c r="BT29" s="92">
        <v>6.1377934632499619E-4</v>
      </c>
      <c r="BU29" s="92">
        <v>5.8682002229916083E-4</v>
      </c>
      <c r="BV29" s="92">
        <v>1.2275586926499924E-3</v>
      </c>
      <c r="BW29" s="92" t="s">
        <v>311</v>
      </c>
      <c r="BX29" s="92" t="s">
        <v>311</v>
      </c>
      <c r="BY29" s="92" t="s">
        <v>318</v>
      </c>
    </row>
    <row r="30" spans="1:77" hidden="1" x14ac:dyDescent="0.25">
      <c r="A30" s="87" t="s">
        <v>19</v>
      </c>
      <c r="B30" s="87">
        <v>2647</v>
      </c>
      <c r="C30" s="87">
        <v>34</v>
      </c>
      <c r="D30" s="87">
        <v>19</v>
      </c>
      <c r="E30" s="87">
        <v>0</v>
      </c>
      <c r="F30" s="87">
        <v>0</v>
      </c>
      <c r="G30" s="87">
        <v>0</v>
      </c>
      <c r="H30" s="87">
        <v>0</v>
      </c>
      <c r="I30" s="87">
        <v>12947</v>
      </c>
      <c r="J30" s="87">
        <v>258</v>
      </c>
      <c r="K30" s="92">
        <v>0.20444890708272187</v>
      </c>
      <c r="L30" s="92">
        <v>0.13178294573643412</v>
      </c>
      <c r="M30" s="92">
        <v>1.4675214335367268E-3</v>
      </c>
      <c r="N30" s="92">
        <v>0</v>
      </c>
      <c r="O30" s="92">
        <v>0</v>
      </c>
      <c r="P30" s="92">
        <v>0</v>
      </c>
      <c r="Q30" s="92">
        <v>0</v>
      </c>
      <c r="R30" s="87">
        <v>46</v>
      </c>
      <c r="S30" s="87">
        <v>46</v>
      </c>
      <c r="T30" s="87" t="s">
        <v>269</v>
      </c>
      <c r="U30" s="87" t="s">
        <v>285</v>
      </c>
      <c r="V30" t="s">
        <v>257</v>
      </c>
      <c r="W30">
        <v>88</v>
      </c>
      <c r="X30">
        <v>13</v>
      </c>
      <c r="Y30">
        <v>264</v>
      </c>
      <c r="Z30">
        <v>17</v>
      </c>
      <c r="AA30">
        <v>0</v>
      </c>
      <c r="AB30">
        <v>0</v>
      </c>
      <c r="AC30">
        <v>382</v>
      </c>
      <c r="AD30" s="92">
        <v>6.7969413763806288E-3</v>
      </c>
      <c r="AE30" s="92">
        <v>5.0387596899224806E-2</v>
      </c>
      <c r="AF30" s="92">
        <v>2.0390824129141887E-2</v>
      </c>
      <c r="AG30" s="92">
        <v>6.589147286821706E-2</v>
      </c>
      <c r="AH30" s="92">
        <v>0</v>
      </c>
      <c r="AI30" s="92">
        <v>0</v>
      </c>
      <c r="AJ30" s="92">
        <v>2.8928436198409693E-2</v>
      </c>
      <c r="AK30">
        <v>0</v>
      </c>
      <c r="AL30">
        <v>0</v>
      </c>
      <c r="AM30">
        <v>0</v>
      </c>
      <c r="AN30">
        <v>0</v>
      </c>
      <c r="AO30">
        <v>0</v>
      </c>
      <c r="AP30">
        <v>0</v>
      </c>
      <c r="AQ30">
        <v>0</v>
      </c>
      <c r="AR30">
        <v>0</v>
      </c>
      <c r="AS30">
        <v>0</v>
      </c>
      <c r="AT30">
        <v>0</v>
      </c>
      <c r="AU30">
        <v>0</v>
      </c>
      <c r="AV30">
        <v>0</v>
      </c>
      <c r="AW30">
        <v>0</v>
      </c>
      <c r="AX30">
        <v>0</v>
      </c>
      <c r="AY30">
        <v>0</v>
      </c>
      <c r="AZ30">
        <v>0</v>
      </c>
      <c r="BA30">
        <v>0</v>
      </c>
      <c r="BB30">
        <v>0</v>
      </c>
      <c r="BC30" t="s">
        <v>311</v>
      </c>
      <c r="BD30" t="s">
        <v>311</v>
      </c>
      <c r="BE30" s="92">
        <v>0</v>
      </c>
      <c r="BF30" s="92">
        <v>0</v>
      </c>
      <c r="BG30" s="92">
        <v>0</v>
      </c>
      <c r="BH30" s="92">
        <v>0</v>
      </c>
      <c r="BI30" s="92">
        <v>0</v>
      </c>
      <c r="BJ30" s="92">
        <v>0</v>
      </c>
      <c r="BK30" s="92">
        <v>0</v>
      </c>
      <c r="BL30" s="92">
        <v>0</v>
      </c>
      <c r="BM30" s="92">
        <v>0</v>
      </c>
      <c r="BN30" s="92">
        <v>0</v>
      </c>
      <c r="BO30" s="92">
        <v>0</v>
      </c>
      <c r="BP30" s="92">
        <v>0</v>
      </c>
      <c r="BQ30" s="92">
        <v>0</v>
      </c>
      <c r="BR30" s="92">
        <v>0</v>
      </c>
      <c r="BS30" s="92">
        <v>0</v>
      </c>
      <c r="BT30" s="92">
        <v>0</v>
      </c>
      <c r="BU30" s="92">
        <v>0</v>
      </c>
      <c r="BV30" s="92">
        <v>0</v>
      </c>
      <c r="BW30" s="92" t="s">
        <v>311</v>
      </c>
      <c r="BX30" s="92" t="s">
        <v>311</v>
      </c>
      <c r="BY30" s="92" t="s">
        <v>317</v>
      </c>
    </row>
    <row r="31" spans="1:77" hidden="1" x14ac:dyDescent="0.25">
      <c r="A31" s="86" t="s">
        <v>20</v>
      </c>
      <c r="B31" s="86" t="s">
        <v>311</v>
      </c>
      <c r="C31" s="86" t="s">
        <v>311</v>
      </c>
      <c r="D31" s="86" t="s">
        <v>311</v>
      </c>
      <c r="E31" s="86" t="s">
        <v>311</v>
      </c>
      <c r="F31" s="86">
        <v>0</v>
      </c>
      <c r="G31" s="86">
        <v>0</v>
      </c>
      <c r="H31" s="86">
        <v>0</v>
      </c>
      <c r="I31" s="86">
        <v>226</v>
      </c>
      <c r="J31" s="86">
        <v>315</v>
      </c>
      <c r="K31" s="93" t="s">
        <v>311</v>
      </c>
      <c r="L31" s="93" t="s">
        <v>311</v>
      </c>
      <c r="M31" s="93" t="s">
        <v>311</v>
      </c>
      <c r="N31" s="93" t="s">
        <v>311</v>
      </c>
      <c r="O31" s="93">
        <v>0</v>
      </c>
      <c r="P31" s="93">
        <v>0</v>
      </c>
      <c r="Q31" s="93">
        <v>0</v>
      </c>
      <c r="R31" s="86">
        <v>46</v>
      </c>
      <c r="S31" s="86">
        <v>46</v>
      </c>
      <c r="T31" s="86" t="s">
        <v>269</v>
      </c>
      <c r="U31" s="86" t="s">
        <v>286</v>
      </c>
      <c r="V31" t="s">
        <v>257</v>
      </c>
      <c r="W31">
        <v>0</v>
      </c>
      <c r="X31">
        <v>0</v>
      </c>
      <c r="Y31">
        <v>0</v>
      </c>
      <c r="Z31">
        <v>1</v>
      </c>
      <c r="AA31">
        <v>0</v>
      </c>
      <c r="AB31">
        <v>0</v>
      </c>
      <c r="AC31">
        <v>1</v>
      </c>
      <c r="AD31" s="92">
        <v>0</v>
      </c>
      <c r="AE31" s="92">
        <v>0</v>
      </c>
      <c r="AF31" s="92">
        <v>0</v>
      </c>
      <c r="AG31" s="92">
        <v>3.1746031746031746E-3</v>
      </c>
      <c r="AH31" s="92">
        <v>0</v>
      </c>
      <c r="AI31" s="92">
        <v>0</v>
      </c>
      <c r="AJ31" s="92">
        <v>1.8484288354898336E-3</v>
      </c>
      <c r="AK31">
        <v>0</v>
      </c>
      <c r="AL31">
        <v>0</v>
      </c>
      <c r="AM31">
        <v>0</v>
      </c>
      <c r="AN31">
        <v>0</v>
      </c>
      <c r="AO31">
        <v>0</v>
      </c>
      <c r="AP31">
        <v>0</v>
      </c>
      <c r="AQ31">
        <v>0</v>
      </c>
      <c r="AR31">
        <v>0</v>
      </c>
      <c r="AS31">
        <v>0</v>
      </c>
      <c r="AT31">
        <v>1</v>
      </c>
      <c r="AU31">
        <v>1</v>
      </c>
      <c r="AV31">
        <v>4</v>
      </c>
      <c r="AW31">
        <v>1</v>
      </c>
      <c r="AX31">
        <v>6</v>
      </c>
      <c r="AY31">
        <v>1</v>
      </c>
      <c r="AZ31">
        <v>6</v>
      </c>
      <c r="BA31">
        <v>1</v>
      </c>
      <c r="BB31">
        <v>7</v>
      </c>
      <c r="BC31" t="s">
        <v>311</v>
      </c>
      <c r="BD31" t="s">
        <v>311</v>
      </c>
      <c r="BE31" s="92">
        <v>0</v>
      </c>
      <c r="BF31" s="92">
        <v>0</v>
      </c>
      <c r="BG31" s="92">
        <v>0</v>
      </c>
      <c r="BH31" s="92">
        <v>0</v>
      </c>
      <c r="BI31" s="92">
        <v>0</v>
      </c>
      <c r="BJ31" s="92">
        <v>0</v>
      </c>
      <c r="BK31" s="92">
        <v>0</v>
      </c>
      <c r="BL31" s="92">
        <v>0</v>
      </c>
      <c r="BM31" s="92">
        <v>0</v>
      </c>
      <c r="BN31" s="92">
        <v>3.1746031746031746E-3</v>
      </c>
      <c r="BO31" s="92">
        <v>4.4247787610619468E-3</v>
      </c>
      <c r="BP31" s="92">
        <v>1.2698412698412698E-2</v>
      </c>
      <c r="BQ31" s="92">
        <v>4.4247787610619468E-3</v>
      </c>
      <c r="BR31" s="92">
        <v>1.9047619047619049E-2</v>
      </c>
      <c r="BS31" s="92">
        <v>4.4247787610619468E-3</v>
      </c>
      <c r="BT31" s="92">
        <v>1.9047619047619049E-2</v>
      </c>
      <c r="BU31" s="92">
        <v>4.4247787610619468E-3</v>
      </c>
      <c r="BV31" s="92">
        <v>2.2222222222222223E-2</v>
      </c>
      <c r="BW31" s="92" t="s">
        <v>311</v>
      </c>
      <c r="BX31" s="92" t="s">
        <v>311</v>
      </c>
      <c r="BY31" s="92" t="s">
        <v>318</v>
      </c>
    </row>
    <row r="32" spans="1:77" hidden="1" x14ac:dyDescent="0.25">
      <c r="A32" s="87" t="s">
        <v>21</v>
      </c>
      <c r="B32" s="87">
        <v>3</v>
      </c>
      <c r="C32" s="87">
        <v>0</v>
      </c>
      <c r="D32" s="87">
        <v>2</v>
      </c>
      <c r="E32" s="87">
        <v>0</v>
      </c>
      <c r="F32" s="87">
        <v>0</v>
      </c>
      <c r="G32" s="87">
        <v>0</v>
      </c>
      <c r="H32" s="87">
        <v>0</v>
      </c>
      <c r="I32" s="87">
        <v>49040</v>
      </c>
      <c r="J32" s="87">
        <v>1360</v>
      </c>
      <c r="K32" s="92">
        <v>6.1174551386623162E-5</v>
      </c>
      <c r="L32" s="92">
        <v>0</v>
      </c>
      <c r="M32" s="92">
        <v>4.0783034257748777E-5</v>
      </c>
      <c r="N32" s="92">
        <v>0</v>
      </c>
      <c r="O32" s="92">
        <v>0</v>
      </c>
      <c r="P32" s="92">
        <v>0</v>
      </c>
      <c r="Q32" s="92">
        <v>0</v>
      </c>
      <c r="R32" s="87">
        <v>46</v>
      </c>
      <c r="S32" s="87">
        <v>46</v>
      </c>
      <c r="T32" s="87" t="s">
        <v>269</v>
      </c>
      <c r="U32" s="87" t="s">
        <v>288</v>
      </c>
      <c r="V32" t="s">
        <v>257</v>
      </c>
      <c r="W32">
        <v>251</v>
      </c>
      <c r="X32">
        <v>17</v>
      </c>
      <c r="Y32">
        <v>3170</v>
      </c>
      <c r="Z32">
        <v>94</v>
      </c>
      <c r="AA32">
        <v>0</v>
      </c>
      <c r="AB32">
        <v>0</v>
      </c>
      <c r="AC32">
        <v>3532</v>
      </c>
      <c r="AD32" s="92">
        <v>5.1182707993474713E-3</v>
      </c>
      <c r="AE32" s="92">
        <v>1.2500000000000001E-2</v>
      </c>
      <c r="AF32" s="92">
        <v>6.4641109298531813E-2</v>
      </c>
      <c r="AG32" s="92">
        <v>6.9117647058823534E-2</v>
      </c>
      <c r="AH32" s="92">
        <v>0</v>
      </c>
      <c r="AI32" s="92">
        <v>0</v>
      </c>
      <c r="AJ32" s="92">
        <v>7.0079365079365075E-2</v>
      </c>
      <c r="AK32">
        <v>0</v>
      </c>
      <c r="AL32">
        <v>0</v>
      </c>
      <c r="AM32">
        <v>0</v>
      </c>
      <c r="AN32">
        <v>0</v>
      </c>
      <c r="AO32">
        <v>0</v>
      </c>
      <c r="AP32">
        <v>0</v>
      </c>
      <c r="AQ32">
        <v>0</v>
      </c>
      <c r="AR32">
        <v>0</v>
      </c>
      <c r="AS32">
        <v>0</v>
      </c>
      <c r="AT32">
        <v>0</v>
      </c>
      <c r="AU32">
        <v>59</v>
      </c>
      <c r="AV32">
        <v>4</v>
      </c>
      <c r="AW32">
        <v>109</v>
      </c>
      <c r="AX32">
        <v>6</v>
      </c>
      <c r="AY32">
        <v>215</v>
      </c>
      <c r="AZ32">
        <v>11</v>
      </c>
      <c r="BA32">
        <v>727</v>
      </c>
      <c r="BB32">
        <v>35</v>
      </c>
      <c r="BC32" t="s">
        <v>311</v>
      </c>
      <c r="BD32" t="s">
        <v>311</v>
      </c>
      <c r="BE32" s="92">
        <v>0</v>
      </c>
      <c r="BF32" s="92">
        <v>0</v>
      </c>
      <c r="BG32" s="92">
        <v>0</v>
      </c>
      <c r="BH32" s="92">
        <v>0</v>
      </c>
      <c r="BI32" s="92">
        <v>0</v>
      </c>
      <c r="BJ32" s="92">
        <v>0</v>
      </c>
      <c r="BK32" s="92">
        <v>0</v>
      </c>
      <c r="BL32" s="92">
        <v>0</v>
      </c>
      <c r="BM32" s="92">
        <v>0</v>
      </c>
      <c r="BN32" s="92">
        <v>0</v>
      </c>
      <c r="BO32" s="92">
        <v>1.2030995106035889E-3</v>
      </c>
      <c r="BP32" s="92">
        <v>2.9411764705882353E-3</v>
      </c>
      <c r="BQ32" s="92">
        <v>2.2226753670473083E-3</v>
      </c>
      <c r="BR32" s="92">
        <v>4.4117647058823529E-3</v>
      </c>
      <c r="BS32" s="92">
        <v>4.3841761827079937E-3</v>
      </c>
      <c r="BT32" s="92">
        <v>8.0882352941176478E-3</v>
      </c>
      <c r="BU32" s="92">
        <v>1.482463295269168E-2</v>
      </c>
      <c r="BV32" s="92">
        <v>2.5735294117647058E-2</v>
      </c>
      <c r="BW32" s="92" t="s">
        <v>311</v>
      </c>
      <c r="BX32" s="92" t="s">
        <v>311</v>
      </c>
      <c r="BY32" s="92" t="s">
        <v>317</v>
      </c>
    </row>
    <row r="33" spans="1:77" hidden="1" x14ac:dyDescent="0.25">
      <c r="A33" s="86" t="s">
        <v>128</v>
      </c>
      <c r="B33" s="86" t="s">
        <v>311</v>
      </c>
      <c r="C33" s="86" t="s">
        <v>311</v>
      </c>
      <c r="D33" s="86" t="s">
        <v>311</v>
      </c>
      <c r="E33" s="86" t="s">
        <v>311</v>
      </c>
      <c r="F33" s="86">
        <v>4</v>
      </c>
      <c r="G33" s="86">
        <v>0</v>
      </c>
      <c r="H33" s="86">
        <v>4</v>
      </c>
      <c r="I33" s="86">
        <v>26190</v>
      </c>
      <c r="J33" s="86">
        <v>2395</v>
      </c>
      <c r="K33" s="93" t="s">
        <v>311</v>
      </c>
      <c r="L33" s="93" t="s">
        <v>311</v>
      </c>
      <c r="M33" s="93" t="s">
        <v>311</v>
      </c>
      <c r="N33" s="93" t="s">
        <v>311</v>
      </c>
      <c r="O33" s="93">
        <v>1.5273004963726612E-4</v>
      </c>
      <c r="P33" s="93">
        <v>0</v>
      </c>
      <c r="Q33" s="93">
        <v>1.3993353157250307E-4</v>
      </c>
      <c r="R33" s="86">
        <v>40</v>
      </c>
      <c r="S33" s="86">
        <v>43</v>
      </c>
      <c r="T33" s="86" t="s">
        <v>269</v>
      </c>
      <c r="U33" s="86" t="s">
        <v>285</v>
      </c>
      <c r="V33" t="s">
        <v>257</v>
      </c>
      <c r="W33">
        <v>279</v>
      </c>
      <c r="X33">
        <v>45</v>
      </c>
      <c r="Y33">
        <v>2376</v>
      </c>
      <c r="Z33">
        <v>323</v>
      </c>
      <c r="AA33">
        <v>745</v>
      </c>
      <c r="AB33">
        <v>18</v>
      </c>
      <c r="AC33">
        <v>3786</v>
      </c>
      <c r="AD33" s="92">
        <v>1.0652920962199313E-2</v>
      </c>
      <c r="AE33" s="92">
        <v>1.8789144050104383E-2</v>
      </c>
      <c r="AF33" s="92">
        <v>9.0721649484536079E-2</v>
      </c>
      <c r="AG33" s="92">
        <v>0.13486430062630481</v>
      </c>
      <c r="AH33" s="92">
        <v>2.8445971744940818E-2</v>
      </c>
      <c r="AI33" s="92">
        <v>7.5156576200417534E-3</v>
      </c>
      <c r="AJ33" s="92">
        <v>0.13244708763337415</v>
      </c>
      <c r="AK33">
        <v>0</v>
      </c>
      <c r="AL33">
        <v>1</v>
      </c>
      <c r="AM33">
        <v>7</v>
      </c>
      <c r="AN33">
        <v>1</v>
      </c>
      <c r="AO33">
        <v>13</v>
      </c>
      <c r="AP33">
        <v>3</v>
      </c>
      <c r="AQ33">
        <v>69</v>
      </c>
      <c r="AR33">
        <v>5</v>
      </c>
      <c r="AS33">
        <v>862</v>
      </c>
      <c r="AT33">
        <v>33</v>
      </c>
      <c r="AU33">
        <v>1059</v>
      </c>
      <c r="AV33">
        <v>46</v>
      </c>
      <c r="AW33">
        <v>1288</v>
      </c>
      <c r="AX33">
        <v>54</v>
      </c>
      <c r="AY33">
        <v>1599</v>
      </c>
      <c r="AZ33">
        <v>65</v>
      </c>
      <c r="BA33">
        <v>1992</v>
      </c>
      <c r="BB33">
        <v>78</v>
      </c>
      <c r="BC33" t="s">
        <v>311</v>
      </c>
      <c r="BD33" t="s">
        <v>311</v>
      </c>
      <c r="BE33" s="92">
        <v>0</v>
      </c>
      <c r="BF33" s="92">
        <v>4.1753653444676412E-4</v>
      </c>
      <c r="BG33" s="92">
        <v>2.6727758686521572E-4</v>
      </c>
      <c r="BH33" s="92">
        <v>4.1753653444676412E-4</v>
      </c>
      <c r="BI33" s="92">
        <v>4.9637266132111497E-4</v>
      </c>
      <c r="BJ33" s="92">
        <v>1.2526096033402922E-3</v>
      </c>
      <c r="BK33" s="92">
        <v>2.634593356242841E-3</v>
      </c>
      <c r="BL33" s="92">
        <v>2.0876826722338203E-3</v>
      </c>
      <c r="BM33" s="92">
        <v>3.291332569683085E-2</v>
      </c>
      <c r="BN33" s="92">
        <v>1.3778705636743214E-2</v>
      </c>
      <c r="BO33" s="92">
        <v>4.0435280641466211E-2</v>
      </c>
      <c r="BP33" s="92">
        <v>1.9206680584551147E-2</v>
      </c>
      <c r="BQ33" s="92">
        <v>4.9179075983199698E-2</v>
      </c>
      <c r="BR33" s="92">
        <v>2.2546972860125261E-2</v>
      </c>
      <c r="BS33" s="92">
        <v>6.1053837342497135E-2</v>
      </c>
      <c r="BT33" s="92">
        <v>2.7139874739039668E-2</v>
      </c>
      <c r="BU33" s="92">
        <v>7.6059564719358527E-2</v>
      </c>
      <c r="BV33" s="92">
        <v>3.2567849686847603E-2</v>
      </c>
      <c r="BW33" s="92" t="s">
        <v>311</v>
      </c>
      <c r="BX33" s="92" t="s">
        <v>311</v>
      </c>
      <c r="BY33" s="92" t="s">
        <v>317</v>
      </c>
    </row>
    <row r="34" spans="1:77" hidden="1" x14ac:dyDescent="0.25">
      <c r="A34" s="87" t="s">
        <v>22</v>
      </c>
      <c r="B34" s="87">
        <v>170</v>
      </c>
      <c r="C34" s="87">
        <v>2</v>
      </c>
      <c r="D34" s="87">
        <v>5</v>
      </c>
      <c r="E34" s="87">
        <v>1</v>
      </c>
      <c r="F34" s="87">
        <v>0</v>
      </c>
      <c r="G34" s="87">
        <v>0</v>
      </c>
      <c r="H34" s="87">
        <v>0</v>
      </c>
      <c r="I34" s="87">
        <v>24226</v>
      </c>
      <c r="J34" s="87">
        <v>915</v>
      </c>
      <c r="K34" s="92">
        <v>7.017254189713531E-3</v>
      </c>
      <c r="L34" s="92">
        <v>2.185792349726776E-3</v>
      </c>
      <c r="M34" s="92">
        <v>2.0638982910922151E-4</v>
      </c>
      <c r="N34" s="92">
        <v>1.092896174863388E-3</v>
      </c>
      <c r="O34" s="92">
        <v>0</v>
      </c>
      <c r="P34" s="92">
        <v>0</v>
      </c>
      <c r="Q34" s="92">
        <v>0</v>
      </c>
      <c r="R34" s="87">
        <v>46</v>
      </c>
      <c r="S34" s="87">
        <v>46</v>
      </c>
      <c r="T34" s="87" t="s">
        <v>269</v>
      </c>
      <c r="U34" s="87" t="s">
        <v>288</v>
      </c>
      <c r="V34" t="s">
        <v>257</v>
      </c>
      <c r="W34">
        <v>33</v>
      </c>
      <c r="X34">
        <v>0</v>
      </c>
      <c r="Y34">
        <v>1262</v>
      </c>
      <c r="Z34">
        <v>36</v>
      </c>
      <c r="AA34">
        <v>0</v>
      </c>
      <c r="AB34">
        <v>0</v>
      </c>
      <c r="AC34">
        <v>1331</v>
      </c>
      <c r="AD34" s="92">
        <v>1.3621728721208619E-3</v>
      </c>
      <c r="AE34" s="92">
        <v>0</v>
      </c>
      <c r="AF34" s="92">
        <v>5.2092792867167503E-2</v>
      </c>
      <c r="AG34" s="92">
        <v>3.9344262295081971E-2</v>
      </c>
      <c r="AH34" s="92">
        <v>0</v>
      </c>
      <c r="AI34" s="92">
        <v>0</v>
      </c>
      <c r="AJ34" s="92">
        <v>5.2941410445089696E-2</v>
      </c>
      <c r="AK34">
        <v>0</v>
      </c>
      <c r="AL34">
        <v>0</v>
      </c>
      <c r="AM34">
        <v>0</v>
      </c>
      <c r="AN34">
        <v>0</v>
      </c>
      <c r="AO34">
        <v>0</v>
      </c>
      <c r="AP34">
        <v>0</v>
      </c>
      <c r="AQ34">
        <v>0</v>
      </c>
      <c r="AR34">
        <v>0</v>
      </c>
      <c r="AS34">
        <v>0</v>
      </c>
      <c r="AT34">
        <v>0</v>
      </c>
      <c r="AU34">
        <v>0</v>
      </c>
      <c r="AV34">
        <v>0</v>
      </c>
      <c r="AW34">
        <v>0</v>
      </c>
      <c r="AX34">
        <v>0</v>
      </c>
      <c r="AY34">
        <v>0</v>
      </c>
      <c r="AZ34">
        <v>0</v>
      </c>
      <c r="BA34">
        <v>0</v>
      </c>
      <c r="BB34">
        <v>0</v>
      </c>
      <c r="BC34" t="s">
        <v>311</v>
      </c>
      <c r="BD34" t="s">
        <v>311</v>
      </c>
      <c r="BE34" s="92">
        <v>0</v>
      </c>
      <c r="BF34" s="92">
        <v>0</v>
      </c>
      <c r="BG34" s="92">
        <v>0</v>
      </c>
      <c r="BH34" s="92">
        <v>0</v>
      </c>
      <c r="BI34" s="92">
        <v>0</v>
      </c>
      <c r="BJ34" s="92">
        <v>0</v>
      </c>
      <c r="BK34" s="92">
        <v>0</v>
      </c>
      <c r="BL34" s="92">
        <v>0</v>
      </c>
      <c r="BM34" s="92">
        <v>0</v>
      </c>
      <c r="BN34" s="92">
        <v>0</v>
      </c>
      <c r="BO34" s="92">
        <v>0</v>
      </c>
      <c r="BP34" s="92">
        <v>0</v>
      </c>
      <c r="BQ34" s="92">
        <v>0</v>
      </c>
      <c r="BR34" s="92">
        <v>0</v>
      </c>
      <c r="BS34" s="92">
        <v>0</v>
      </c>
      <c r="BT34" s="92">
        <v>0</v>
      </c>
      <c r="BU34" s="92">
        <v>0</v>
      </c>
      <c r="BV34" s="92">
        <v>0</v>
      </c>
      <c r="BW34" s="92" t="s">
        <v>311</v>
      </c>
      <c r="BX34" s="92" t="s">
        <v>311</v>
      </c>
      <c r="BY34" s="92" t="s">
        <v>317</v>
      </c>
    </row>
    <row r="35" spans="1:77" hidden="1" x14ac:dyDescent="0.25">
      <c r="A35" s="86" t="s">
        <v>23</v>
      </c>
      <c r="B35" s="86" t="s">
        <v>311</v>
      </c>
      <c r="C35" s="86" t="s">
        <v>311</v>
      </c>
      <c r="D35" s="86" t="s">
        <v>311</v>
      </c>
      <c r="E35" s="86" t="s">
        <v>311</v>
      </c>
      <c r="F35" s="86">
        <v>0</v>
      </c>
      <c r="G35" s="86">
        <v>0</v>
      </c>
      <c r="H35" s="86">
        <v>0</v>
      </c>
      <c r="I35" s="86">
        <v>10761</v>
      </c>
      <c r="J35" s="86">
        <v>428</v>
      </c>
      <c r="K35" s="93" t="s">
        <v>311</v>
      </c>
      <c r="L35" s="93" t="s">
        <v>311</v>
      </c>
      <c r="M35" s="93" t="s">
        <v>311</v>
      </c>
      <c r="N35" s="93" t="s">
        <v>311</v>
      </c>
      <c r="O35" s="93">
        <v>0</v>
      </c>
      <c r="P35" s="93">
        <v>0</v>
      </c>
      <c r="Q35" s="93">
        <v>0</v>
      </c>
      <c r="R35" s="86">
        <v>46</v>
      </c>
      <c r="S35" s="86">
        <v>46</v>
      </c>
      <c r="T35" s="86" t="s">
        <v>269</v>
      </c>
      <c r="U35" s="86" t="s">
        <v>285</v>
      </c>
      <c r="V35" t="s">
        <v>257</v>
      </c>
      <c r="W35">
        <v>52</v>
      </c>
      <c r="X35">
        <v>3</v>
      </c>
      <c r="Y35">
        <v>946</v>
      </c>
      <c r="Z35">
        <v>27</v>
      </c>
      <c r="AA35">
        <v>0</v>
      </c>
      <c r="AB35">
        <v>0</v>
      </c>
      <c r="AC35">
        <v>1028</v>
      </c>
      <c r="AD35" s="92">
        <v>4.8322646594182693E-3</v>
      </c>
      <c r="AE35" s="92">
        <v>7.0093457943925233E-3</v>
      </c>
      <c r="AF35" s="92">
        <v>8.7910045534801598E-2</v>
      </c>
      <c r="AG35" s="92">
        <v>6.3084112149532703E-2</v>
      </c>
      <c r="AH35" s="92">
        <v>0</v>
      </c>
      <c r="AI35" s="92">
        <v>0</v>
      </c>
      <c r="AJ35" s="92">
        <v>9.1875949593350617E-2</v>
      </c>
      <c r="AK35">
        <v>0</v>
      </c>
      <c r="AL35">
        <v>0</v>
      </c>
      <c r="AM35">
        <v>0</v>
      </c>
      <c r="AN35">
        <v>0</v>
      </c>
      <c r="AO35">
        <v>0</v>
      </c>
      <c r="AP35">
        <v>0</v>
      </c>
      <c r="AQ35">
        <v>0</v>
      </c>
      <c r="AR35">
        <v>0</v>
      </c>
      <c r="AS35">
        <v>346</v>
      </c>
      <c r="AT35">
        <v>7</v>
      </c>
      <c r="AU35">
        <v>493</v>
      </c>
      <c r="AV35">
        <v>16</v>
      </c>
      <c r="AW35">
        <v>784</v>
      </c>
      <c r="AX35">
        <v>27</v>
      </c>
      <c r="AY35">
        <v>1489</v>
      </c>
      <c r="AZ35">
        <v>76</v>
      </c>
      <c r="BA35">
        <v>2190</v>
      </c>
      <c r="BB35">
        <v>127</v>
      </c>
      <c r="BC35" t="s">
        <v>311</v>
      </c>
      <c r="BD35" t="s">
        <v>311</v>
      </c>
      <c r="BE35" s="92">
        <v>0</v>
      </c>
      <c r="BF35" s="92">
        <v>0</v>
      </c>
      <c r="BG35" s="92">
        <v>0</v>
      </c>
      <c r="BH35" s="92">
        <v>0</v>
      </c>
      <c r="BI35" s="92">
        <v>0</v>
      </c>
      <c r="BJ35" s="92">
        <v>0</v>
      </c>
      <c r="BK35" s="92">
        <v>0</v>
      </c>
      <c r="BL35" s="92">
        <v>0</v>
      </c>
      <c r="BM35" s="92">
        <v>3.2153145618436949E-2</v>
      </c>
      <c r="BN35" s="92">
        <v>1.6355140186915886E-2</v>
      </c>
      <c r="BO35" s="92">
        <v>4.5813586097946286E-2</v>
      </c>
      <c r="BP35" s="92">
        <v>3.7383177570093455E-2</v>
      </c>
      <c r="BQ35" s="92">
        <v>7.2855682557383145E-2</v>
      </c>
      <c r="BR35" s="92">
        <v>6.3084112149532703E-2</v>
      </c>
      <c r="BS35" s="92">
        <v>0.1383700399591116</v>
      </c>
      <c r="BT35" s="92">
        <v>0.17757009345794392</v>
      </c>
      <c r="BU35" s="92">
        <v>0.20351268469473097</v>
      </c>
      <c r="BV35" s="92">
        <v>0.29672897196261683</v>
      </c>
      <c r="BW35" s="92" t="s">
        <v>311</v>
      </c>
      <c r="BX35" s="92" t="s">
        <v>311</v>
      </c>
      <c r="BY35" s="92" t="s">
        <v>317</v>
      </c>
    </row>
    <row r="36" spans="1:77" hidden="1" x14ac:dyDescent="0.25">
      <c r="A36" s="87" t="s">
        <v>24</v>
      </c>
      <c r="B36" s="87" t="s">
        <v>311</v>
      </c>
      <c r="C36" s="87" t="s">
        <v>311</v>
      </c>
      <c r="D36" s="87" t="s">
        <v>311</v>
      </c>
      <c r="E36" s="87" t="s">
        <v>311</v>
      </c>
      <c r="F36" s="87">
        <v>15624</v>
      </c>
      <c r="G36" s="87">
        <v>1222</v>
      </c>
      <c r="H36" s="87">
        <v>16846</v>
      </c>
      <c r="I36" s="87">
        <v>65644</v>
      </c>
      <c r="J36" s="87">
        <v>20110</v>
      </c>
      <c r="K36" s="92" t="s">
        <v>311</v>
      </c>
      <c r="L36" s="92" t="s">
        <v>311</v>
      </c>
      <c r="M36" s="92" t="s">
        <v>311</v>
      </c>
      <c r="N36" s="92" t="s">
        <v>311</v>
      </c>
      <c r="O36" s="92">
        <v>0.23801109012247881</v>
      </c>
      <c r="P36" s="92">
        <v>6.0765788165091997E-2</v>
      </c>
      <c r="Q36" s="92">
        <v>0.1964456468502927</v>
      </c>
      <c r="R36" s="87">
        <v>1</v>
      </c>
      <c r="S36" s="87">
        <v>12</v>
      </c>
      <c r="T36" s="87" t="s">
        <v>269</v>
      </c>
      <c r="U36" s="87" t="s">
        <v>286</v>
      </c>
      <c r="V36" t="s">
        <v>257</v>
      </c>
      <c r="W36">
        <v>207</v>
      </c>
      <c r="X36">
        <v>83</v>
      </c>
      <c r="Y36">
        <v>2919</v>
      </c>
      <c r="Z36">
        <v>1225</v>
      </c>
      <c r="AA36">
        <v>1</v>
      </c>
      <c r="AB36">
        <v>0</v>
      </c>
      <c r="AC36">
        <v>4435</v>
      </c>
      <c r="AD36" s="92">
        <v>3.1533727377978187E-3</v>
      </c>
      <c r="AE36" s="92">
        <v>4.1272998508204871E-3</v>
      </c>
      <c r="AF36" s="92">
        <v>4.4467125708366341E-2</v>
      </c>
      <c r="AG36" s="92">
        <v>6.0914967677772255E-2</v>
      </c>
      <c r="AH36" s="92">
        <v>1.5233684723660959E-5</v>
      </c>
      <c r="AI36" s="92">
        <v>0</v>
      </c>
      <c r="AJ36" s="92">
        <v>5.1717704130419574E-2</v>
      </c>
      <c r="AK36">
        <v>4</v>
      </c>
      <c r="AL36">
        <v>0</v>
      </c>
      <c r="AM36">
        <v>4</v>
      </c>
      <c r="AN36">
        <v>1</v>
      </c>
      <c r="AO36">
        <v>9</v>
      </c>
      <c r="AP36">
        <v>1</v>
      </c>
      <c r="AQ36">
        <v>81</v>
      </c>
      <c r="AR36">
        <v>7</v>
      </c>
      <c r="AS36">
        <v>464</v>
      </c>
      <c r="AT36">
        <v>152</v>
      </c>
      <c r="AU36">
        <v>755</v>
      </c>
      <c r="AV36">
        <v>271</v>
      </c>
      <c r="AW36">
        <v>887</v>
      </c>
      <c r="AX36">
        <v>330</v>
      </c>
      <c r="AY36">
        <v>1125</v>
      </c>
      <c r="AZ36">
        <v>456</v>
      </c>
      <c r="BA36">
        <v>1386</v>
      </c>
      <c r="BB36">
        <v>586</v>
      </c>
      <c r="BC36" t="s">
        <v>311</v>
      </c>
      <c r="BD36" t="s">
        <v>311</v>
      </c>
      <c r="BE36" s="92">
        <v>6.0934738894643838E-5</v>
      </c>
      <c r="BF36" s="92">
        <v>0</v>
      </c>
      <c r="BG36" s="92">
        <v>6.0934738894643838E-5</v>
      </c>
      <c r="BH36" s="92">
        <v>4.9726504226752858E-5</v>
      </c>
      <c r="BI36" s="92">
        <v>1.3710316251294862E-4</v>
      </c>
      <c r="BJ36" s="92">
        <v>4.9726504226752858E-5</v>
      </c>
      <c r="BK36" s="92">
        <v>1.2339284626165378E-3</v>
      </c>
      <c r="BL36" s="92">
        <v>3.4808552958727002E-4</v>
      </c>
      <c r="BM36" s="92">
        <v>7.0684297117786848E-3</v>
      </c>
      <c r="BN36" s="92">
        <v>7.5584286424664349E-3</v>
      </c>
      <c r="BO36" s="92">
        <v>1.1501431966364025E-2</v>
      </c>
      <c r="BP36" s="92">
        <v>1.3475882645450025E-2</v>
      </c>
      <c r="BQ36" s="92">
        <v>1.3512278349887271E-2</v>
      </c>
      <c r="BR36" s="92">
        <v>1.6409746394828444E-2</v>
      </c>
      <c r="BS36" s="92">
        <v>1.7137895314118579E-2</v>
      </c>
      <c r="BT36" s="92">
        <v>2.2675285927399303E-2</v>
      </c>
      <c r="BU36" s="92">
        <v>2.1113887026994089E-2</v>
      </c>
      <c r="BV36" s="92">
        <v>2.9139731476877175E-2</v>
      </c>
      <c r="BW36" s="92" t="s">
        <v>311</v>
      </c>
      <c r="BX36" s="92" t="s">
        <v>311</v>
      </c>
      <c r="BY36" s="92" t="s">
        <v>317</v>
      </c>
    </row>
    <row r="37" spans="1:77" hidden="1" x14ac:dyDescent="0.25">
      <c r="A37" s="86" t="s">
        <v>25</v>
      </c>
      <c r="B37" s="86" t="s">
        <v>311</v>
      </c>
      <c r="C37" s="86" t="s">
        <v>311</v>
      </c>
      <c r="D37" s="86" t="s">
        <v>311</v>
      </c>
      <c r="E37" s="86" t="s">
        <v>311</v>
      </c>
      <c r="F37" s="86">
        <v>289</v>
      </c>
      <c r="G37" s="86">
        <v>9</v>
      </c>
      <c r="H37" s="86">
        <v>298</v>
      </c>
      <c r="I37" s="86">
        <v>3712</v>
      </c>
      <c r="J37" s="86">
        <v>84</v>
      </c>
      <c r="K37" s="93" t="s">
        <v>311</v>
      </c>
      <c r="L37" s="93" t="s">
        <v>311</v>
      </c>
      <c r="M37" s="93" t="s">
        <v>311</v>
      </c>
      <c r="N37" s="93" t="s">
        <v>311</v>
      </c>
      <c r="O37" s="93">
        <v>7.7855603448275856E-2</v>
      </c>
      <c r="P37" s="93">
        <v>0.10714285714285714</v>
      </c>
      <c r="Q37" s="93">
        <v>7.8503688092729187E-2</v>
      </c>
      <c r="R37" s="86">
        <v>29</v>
      </c>
      <c r="S37" s="86">
        <v>22</v>
      </c>
      <c r="T37" s="86" t="s">
        <v>269</v>
      </c>
      <c r="U37" s="86" t="s">
        <v>285</v>
      </c>
      <c r="V37" t="s">
        <v>257</v>
      </c>
      <c r="W37">
        <v>0</v>
      </c>
      <c r="X37">
        <v>0</v>
      </c>
      <c r="Y37">
        <v>0</v>
      </c>
      <c r="Z37">
        <v>0</v>
      </c>
      <c r="AA37">
        <v>0</v>
      </c>
      <c r="AB37">
        <v>0</v>
      </c>
      <c r="AC37">
        <v>0</v>
      </c>
      <c r="AD37" s="92">
        <v>0</v>
      </c>
      <c r="AE37" s="92">
        <v>0</v>
      </c>
      <c r="AF37" s="92">
        <v>0</v>
      </c>
      <c r="AG37" s="92">
        <v>0</v>
      </c>
      <c r="AH37" s="92">
        <v>0</v>
      </c>
      <c r="AI37" s="92">
        <v>0</v>
      </c>
      <c r="AJ37" s="92">
        <v>0</v>
      </c>
      <c r="AK37">
        <v>0</v>
      </c>
      <c r="AL37">
        <v>0</v>
      </c>
      <c r="AM37">
        <v>0</v>
      </c>
      <c r="AN37">
        <v>0</v>
      </c>
      <c r="AO37">
        <v>0</v>
      </c>
      <c r="AP37">
        <v>0</v>
      </c>
      <c r="AQ37">
        <v>0</v>
      </c>
      <c r="AR37">
        <v>0</v>
      </c>
      <c r="AS37">
        <v>0</v>
      </c>
      <c r="AT37">
        <v>0</v>
      </c>
      <c r="AU37">
        <v>0</v>
      </c>
      <c r="AV37">
        <v>0</v>
      </c>
      <c r="AW37">
        <v>0</v>
      </c>
      <c r="AX37">
        <v>0</v>
      </c>
      <c r="AY37">
        <v>0</v>
      </c>
      <c r="AZ37">
        <v>0</v>
      </c>
      <c r="BA37">
        <v>0</v>
      </c>
      <c r="BB37">
        <v>0</v>
      </c>
      <c r="BC37" t="s">
        <v>311</v>
      </c>
      <c r="BD37" t="s">
        <v>311</v>
      </c>
      <c r="BE37" s="92">
        <v>0</v>
      </c>
      <c r="BF37" s="92">
        <v>0</v>
      </c>
      <c r="BG37" s="92">
        <v>0</v>
      </c>
      <c r="BH37" s="92">
        <v>0</v>
      </c>
      <c r="BI37" s="92">
        <v>0</v>
      </c>
      <c r="BJ37" s="92">
        <v>0</v>
      </c>
      <c r="BK37" s="92">
        <v>0</v>
      </c>
      <c r="BL37" s="92">
        <v>0</v>
      </c>
      <c r="BM37" s="92">
        <v>0</v>
      </c>
      <c r="BN37" s="92">
        <v>0</v>
      </c>
      <c r="BO37" s="92">
        <v>0</v>
      </c>
      <c r="BP37" s="92">
        <v>0</v>
      </c>
      <c r="BQ37" s="92">
        <v>0</v>
      </c>
      <c r="BR37" s="92">
        <v>0</v>
      </c>
      <c r="BS37" s="92">
        <v>0</v>
      </c>
      <c r="BT37" s="92">
        <v>0</v>
      </c>
      <c r="BU37" s="92">
        <v>0</v>
      </c>
      <c r="BV37" s="92">
        <v>0</v>
      </c>
      <c r="BW37" s="92" t="s">
        <v>311</v>
      </c>
      <c r="BX37" s="92" t="s">
        <v>311</v>
      </c>
      <c r="BY37" s="92" t="s">
        <v>317</v>
      </c>
    </row>
    <row r="38" spans="1:77" hidden="1" x14ac:dyDescent="0.25">
      <c r="A38" s="87" t="s">
        <v>26</v>
      </c>
      <c r="B38" s="87">
        <v>40</v>
      </c>
      <c r="C38" s="87">
        <v>14</v>
      </c>
      <c r="D38" s="87">
        <v>29</v>
      </c>
      <c r="E38" s="87">
        <v>2</v>
      </c>
      <c r="F38" s="87">
        <v>435</v>
      </c>
      <c r="G38" s="87">
        <v>24</v>
      </c>
      <c r="H38" s="87">
        <v>459</v>
      </c>
      <c r="I38" s="87">
        <v>19688</v>
      </c>
      <c r="J38" s="87">
        <v>521</v>
      </c>
      <c r="K38" s="92">
        <v>2.0316944331572532E-3</v>
      </c>
      <c r="L38" s="92">
        <v>2.6871401151631478E-2</v>
      </c>
      <c r="M38" s="92">
        <v>1.4729784640390086E-3</v>
      </c>
      <c r="N38" s="92">
        <v>3.838771593090211E-3</v>
      </c>
      <c r="O38" s="92">
        <v>2.2094676960585129E-2</v>
      </c>
      <c r="P38" s="92">
        <v>4.6065259117082535E-2</v>
      </c>
      <c r="Q38" s="92">
        <v>2.2712652778465039E-2</v>
      </c>
      <c r="R38" s="87">
        <v>27</v>
      </c>
      <c r="S38" s="87">
        <v>28</v>
      </c>
      <c r="T38" s="87" t="s">
        <v>269</v>
      </c>
      <c r="U38" s="87" t="s">
        <v>288</v>
      </c>
      <c r="V38" t="s">
        <v>257</v>
      </c>
      <c r="W38">
        <v>324</v>
      </c>
      <c r="X38">
        <v>4</v>
      </c>
      <c r="Y38">
        <v>4512</v>
      </c>
      <c r="Z38">
        <v>27</v>
      </c>
      <c r="AA38">
        <v>0</v>
      </c>
      <c r="AB38">
        <v>0</v>
      </c>
      <c r="AC38">
        <v>4867</v>
      </c>
      <c r="AD38" s="92">
        <v>1.645672490857375E-2</v>
      </c>
      <c r="AE38" s="92">
        <v>7.677543186180422E-3</v>
      </c>
      <c r="AF38" s="92">
        <v>0.22917513206013815</v>
      </c>
      <c r="AG38" s="92">
        <v>5.1823416506717852E-2</v>
      </c>
      <c r="AH38" s="92">
        <v>0</v>
      </c>
      <c r="AI38" s="92">
        <v>0</v>
      </c>
      <c r="AJ38" s="92">
        <v>0.24083329209758028</v>
      </c>
      <c r="AK38">
        <v>0</v>
      </c>
      <c r="AL38">
        <v>0</v>
      </c>
      <c r="AM38">
        <v>0</v>
      </c>
      <c r="AN38">
        <v>0</v>
      </c>
      <c r="AO38">
        <v>0</v>
      </c>
      <c r="AP38">
        <v>0</v>
      </c>
      <c r="AQ38">
        <v>0</v>
      </c>
      <c r="AR38">
        <v>0</v>
      </c>
      <c r="AS38">
        <v>0</v>
      </c>
      <c r="AT38">
        <v>0</v>
      </c>
      <c r="AU38">
        <v>0</v>
      </c>
      <c r="AV38">
        <v>0</v>
      </c>
      <c r="AW38">
        <v>0</v>
      </c>
      <c r="AX38">
        <v>0</v>
      </c>
      <c r="AY38">
        <v>0</v>
      </c>
      <c r="AZ38">
        <v>0</v>
      </c>
      <c r="BA38">
        <v>0</v>
      </c>
      <c r="BB38">
        <v>0</v>
      </c>
      <c r="BC38" t="s">
        <v>311</v>
      </c>
      <c r="BD38" t="s">
        <v>311</v>
      </c>
      <c r="BE38" s="92">
        <v>0</v>
      </c>
      <c r="BF38" s="92">
        <v>0</v>
      </c>
      <c r="BG38" s="92">
        <v>0</v>
      </c>
      <c r="BH38" s="92">
        <v>0</v>
      </c>
      <c r="BI38" s="92">
        <v>0</v>
      </c>
      <c r="BJ38" s="92">
        <v>0</v>
      </c>
      <c r="BK38" s="92">
        <v>0</v>
      </c>
      <c r="BL38" s="92">
        <v>0</v>
      </c>
      <c r="BM38" s="92">
        <v>0</v>
      </c>
      <c r="BN38" s="92">
        <v>0</v>
      </c>
      <c r="BO38" s="92">
        <v>0</v>
      </c>
      <c r="BP38" s="92">
        <v>0</v>
      </c>
      <c r="BQ38" s="92">
        <v>0</v>
      </c>
      <c r="BR38" s="92">
        <v>0</v>
      </c>
      <c r="BS38" s="92">
        <v>0</v>
      </c>
      <c r="BT38" s="92">
        <v>0</v>
      </c>
      <c r="BU38" s="92">
        <v>0</v>
      </c>
      <c r="BV38" s="92">
        <v>0</v>
      </c>
      <c r="BW38" s="92" t="s">
        <v>311</v>
      </c>
      <c r="BX38" s="92" t="s">
        <v>311</v>
      </c>
      <c r="BY38" s="92" t="s">
        <v>317</v>
      </c>
    </row>
    <row r="39" spans="1:77" hidden="1" x14ac:dyDescent="0.25">
      <c r="A39" s="86" t="s">
        <v>27</v>
      </c>
      <c r="B39" s="86" t="s">
        <v>311</v>
      </c>
      <c r="C39" s="86" t="s">
        <v>311</v>
      </c>
      <c r="D39" s="86" t="s">
        <v>311</v>
      </c>
      <c r="E39" s="86" t="s">
        <v>311</v>
      </c>
      <c r="F39" s="86">
        <v>479</v>
      </c>
      <c r="G39" s="86">
        <v>25</v>
      </c>
      <c r="H39" s="86">
        <v>504</v>
      </c>
      <c r="I39" s="86">
        <v>18902</v>
      </c>
      <c r="J39" s="86">
        <v>1671</v>
      </c>
      <c r="K39" s="93" t="s">
        <v>311</v>
      </c>
      <c r="L39" s="93" t="s">
        <v>311</v>
      </c>
      <c r="M39" s="93" t="s">
        <v>311</v>
      </c>
      <c r="N39" s="93" t="s">
        <v>311</v>
      </c>
      <c r="O39" s="93">
        <v>2.5341233731880224E-2</v>
      </c>
      <c r="P39" s="93">
        <v>1.4961101137043686E-2</v>
      </c>
      <c r="Q39" s="93">
        <v>2.4498128615175231E-2</v>
      </c>
      <c r="R39" s="86">
        <v>26</v>
      </c>
      <c r="S39" s="86">
        <v>27</v>
      </c>
      <c r="T39" s="86" t="s">
        <v>269</v>
      </c>
      <c r="U39" s="86" t="s">
        <v>285</v>
      </c>
      <c r="V39" t="s">
        <v>257</v>
      </c>
      <c r="W39">
        <v>1472</v>
      </c>
      <c r="X39">
        <v>55</v>
      </c>
      <c r="Y39">
        <v>435</v>
      </c>
      <c r="Z39">
        <v>115</v>
      </c>
      <c r="AA39">
        <v>0</v>
      </c>
      <c r="AB39">
        <v>0</v>
      </c>
      <c r="AC39">
        <v>2077</v>
      </c>
      <c r="AD39" s="92">
        <v>7.7875357105068252E-2</v>
      </c>
      <c r="AE39" s="92">
        <v>3.2914422501496107E-2</v>
      </c>
      <c r="AF39" s="92">
        <v>2.301343773145699E-2</v>
      </c>
      <c r="AG39" s="92">
        <v>6.8821065230400963E-2</v>
      </c>
      <c r="AH39" s="92">
        <v>0</v>
      </c>
      <c r="AI39" s="92">
        <v>0</v>
      </c>
      <c r="AJ39" s="92">
        <v>0.10095756574150586</v>
      </c>
      <c r="AK39">
        <v>0</v>
      </c>
      <c r="AL39">
        <v>0</v>
      </c>
      <c r="AM39">
        <v>1</v>
      </c>
      <c r="AN39">
        <v>1</v>
      </c>
      <c r="AO39">
        <v>3</v>
      </c>
      <c r="AP39">
        <v>4</v>
      </c>
      <c r="AQ39">
        <v>500</v>
      </c>
      <c r="AR39">
        <v>49</v>
      </c>
      <c r="AS39">
        <v>915</v>
      </c>
      <c r="AT39">
        <v>92</v>
      </c>
      <c r="AU39">
        <v>1639</v>
      </c>
      <c r="AV39">
        <v>121</v>
      </c>
      <c r="AW39">
        <v>2139</v>
      </c>
      <c r="AX39">
        <v>139</v>
      </c>
      <c r="AY39">
        <v>2920</v>
      </c>
      <c r="AZ39">
        <v>157</v>
      </c>
      <c r="BA39">
        <v>3433</v>
      </c>
      <c r="BB39">
        <v>185</v>
      </c>
      <c r="BC39" t="s">
        <v>311</v>
      </c>
      <c r="BD39" t="s">
        <v>311</v>
      </c>
      <c r="BE39" s="92">
        <v>0</v>
      </c>
      <c r="BF39" s="92">
        <v>0</v>
      </c>
      <c r="BG39" s="92">
        <v>5.290445455507354E-5</v>
      </c>
      <c r="BH39" s="92">
        <v>5.9844404548174744E-4</v>
      </c>
      <c r="BI39" s="92">
        <v>1.587133636652206E-4</v>
      </c>
      <c r="BJ39" s="92">
        <v>2.3937761819269898E-3</v>
      </c>
      <c r="BK39" s="92">
        <v>2.645222727753677E-2</v>
      </c>
      <c r="BL39" s="92">
        <v>2.9323758228605626E-2</v>
      </c>
      <c r="BM39" s="92">
        <v>4.8407575917892284E-2</v>
      </c>
      <c r="BN39" s="92">
        <v>5.5056852184320763E-2</v>
      </c>
      <c r="BO39" s="92">
        <v>8.6710401015765534E-2</v>
      </c>
      <c r="BP39" s="92">
        <v>7.2411729503291444E-2</v>
      </c>
      <c r="BQ39" s="92">
        <v>0.1131626282933023</v>
      </c>
      <c r="BR39" s="92">
        <v>8.3183722321962902E-2</v>
      </c>
      <c r="BS39" s="92">
        <v>0.15448100730081474</v>
      </c>
      <c r="BT39" s="92">
        <v>9.3955715140634347E-2</v>
      </c>
      <c r="BU39" s="92">
        <v>0.18162099248756744</v>
      </c>
      <c r="BV39" s="92">
        <v>0.11071214841412327</v>
      </c>
      <c r="BW39" s="92" t="s">
        <v>311</v>
      </c>
      <c r="BX39" s="92" t="s">
        <v>311</v>
      </c>
      <c r="BY39" s="92" t="s">
        <v>317</v>
      </c>
    </row>
    <row r="40" spans="1:77" hidden="1" x14ac:dyDescent="0.25">
      <c r="A40" s="87" t="s">
        <v>28</v>
      </c>
      <c r="B40" s="87">
        <v>367</v>
      </c>
      <c r="C40" s="87">
        <v>2</v>
      </c>
      <c r="D40" s="87">
        <v>2948</v>
      </c>
      <c r="E40" s="87">
        <v>92</v>
      </c>
      <c r="F40" s="87">
        <v>2402</v>
      </c>
      <c r="G40" s="87">
        <v>80</v>
      </c>
      <c r="H40" s="87">
        <v>2482</v>
      </c>
      <c r="I40" s="87">
        <v>32992</v>
      </c>
      <c r="J40" s="87">
        <v>2805</v>
      </c>
      <c r="K40" s="92">
        <v>1.1123908826382154E-2</v>
      </c>
      <c r="L40" s="92">
        <v>7.1301247771836005E-4</v>
      </c>
      <c r="M40" s="92">
        <v>8.935499515033947E-2</v>
      </c>
      <c r="N40" s="92">
        <v>3.2798573975044563E-2</v>
      </c>
      <c r="O40" s="92">
        <v>7.2805528612997092E-2</v>
      </c>
      <c r="P40" s="92">
        <v>2.8520499108734401E-2</v>
      </c>
      <c r="Q40" s="92">
        <v>6.9335419169204118E-2</v>
      </c>
      <c r="R40" s="87">
        <v>10</v>
      </c>
      <c r="S40" s="87">
        <v>24</v>
      </c>
      <c r="T40" s="87" t="s">
        <v>269</v>
      </c>
      <c r="U40" s="87" t="s">
        <v>285</v>
      </c>
      <c r="V40" t="s">
        <v>257</v>
      </c>
      <c r="W40">
        <v>801</v>
      </c>
      <c r="X40">
        <v>46</v>
      </c>
      <c r="Y40">
        <v>1824</v>
      </c>
      <c r="Z40">
        <v>57</v>
      </c>
      <c r="AA40">
        <v>0</v>
      </c>
      <c r="AB40">
        <v>0</v>
      </c>
      <c r="AC40">
        <v>2728</v>
      </c>
      <c r="AD40" s="92">
        <v>2.4278612997090204E-2</v>
      </c>
      <c r="AE40" s="92">
        <v>1.6399286987522282E-2</v>
      </c>
      <c r="AF40" s="92">
        <v>5.5286129970902036E-2</v>
      </c>
      <c r="AG40" s="92">
        <v>2.0320855614973262E-2</v>
      </c>
      <c r="AH40" s="92">
        <v>0</v>
      </c>
      <c r="AI40" s="92">
        <v>0</v>
      </c>
      <c r="AJ40" s="92">
        <v>7.6207503422074482E-2</v>
      </c>
      <c r="AK40">
        <v>0</v>
      </c>
      <c r="AL40">
        <v>0</v>
      </c>
      <c r="AM40">
        <v>0</v>
      </c>
      <c r="AN40">
        <v>0</v>
      </c>
      <c r="AO40">
        <v>0</v>
      </c>
      <c r="AP40">
        <v>0</v>
      </c>
      <c r="AQ40">
        <v>0</v>
      </c>
      <c r="AR40">
        <v>0</v>
      </c>
      <c r="AS40">
        <v>0</v>
      </c>
      <c r="AT40">
        <v>0</v>
      </c>
      <c r="AU40">
        <v>572</v>
      </c>
      <c r="AV40">
        <v>0</v>
      </c>
      <c r="AW40">
        <v>886</v>
      </c>
      <c r="AX40">
        <v>1</v>
      </c>
      <c r="AY40">
        <v>1248</v>
      </c>
      <c r="AZ40">
        <v>1</v>
      </c>
      <c r="BA40">
        <v>1485</v>
      </c>
      <c r="BB40">
        <v>1</v>
      </c>
      <c r="BC40" t="s">
        <v>311</v>
      </c>
      <c r="BD40" t="s">
        <v>311</v>
      </c>
      <c r="BE40" s="92">
        <v>0</v>
      </c>
      <c r="BF40" s="92">
        <v>0</v>
      </c>
      <c r="BG40" s="92">
        <v>0</v>
      </c>
      <c r="BH40" s="92">
        <v>0</v>
      </c>
      <c r="BI40" s="92">
        <v>0</v>
      </c>
      <c r="BJ40" s="92">
        <v>0</v>
      </c>
      <c r="BK40" s="92">
        <v>0</v>
      </c>
      <c r="BL40" s="92">
        <v>0</v>
      </c>
      <c r="BM40" s="92">
        <v>0</v>
      </c>
      <c r="BN40" s="92">
        <v>0</v>
      </c>
      <c r="BO40" s="92">
        <v>1.7337536372453929E-2</v>
      </c>
      <c r="BP40" s="92">
        <v>0</v>
      </c>
      <c r="BQ40" s="92">
        <v>2.6854995150339477E-2</v>
      </c>
      <c r="BR40" s="92">
        <v>3.5650623885918003E-4</v>
      </c>
      <c r="BS40" s="92">
        <v>3.7827352085354024E-2</v>
      </c>
      <c r="BT40" s="92">
        <v>3.5650623885918003E-4</v>
      </c>
      <c r="BU40" s="92">
        <v>4.5010911736178466E-2</v>
      </c>
      <c r="BV40" s="92">
        <v>3.5650623885918003E-4</v>
      </c>
      <c r="BW40" s="92" t="s">
        <v>311</v>
      </c>
      <c r="BX40" s="92" t="s">
        <v>311</v>
      </c>
      <c r="BY40" s="92" t="s">
        <v>317</v>
      </c>
    </row>
    <row r="41" spans="1:77" hidden="1" x14ac:dyDescent="0.25">
      <c r="A41" s="86" t="s">
        <v>29</v>
      </c>
      <c r="B41" s="86" t="s">
        <v>311</v>
      </c>
      <c r="C41" s="86" t="s">
        <v>311</v>
      </c>
      <c r="D41" s="86" t="s">
        <v>311</v>
      </c>
      <c r="E41" s="86" t="s">
        <v>311</v>
      </c>
      <c r="F41" s="86">
        <v>1</v>
      </c>
      <c r="G41" s="86">
        <v>0</v>
      </c>
      <c r="H41" s="86">
        <v>1</v>
      </c>
      <c r="I41" s="86">
        <v>14245</v>
      </c>
      <c r="J41" s="86">
        <v>512</v>
      </c>
      <c r="K41" s="93" t="s">
        <v>311</v>
      </c>
      <c r="L41" s="93" t="s">
        <v>311</v>
      </c>
      <c r="M41" s="93" t="s">
        <v>311</v>
      </c>
      <c r="N41" s="93" t="s">
        <v>311</v>
      </c>
      <c r="O41" s="93">
        <v>7.0200070200070202E-5</v>
      </c>
      <c r="P41" s="93">
        <v>0</v>
      </c>
      <c r="Q41" s="93">
        <v>6.7764450769126517E-5</v>
      </c>
      <c r="R41" s="86">
        <v>43</v>
      </c>
      <c r="S41" s="86">
        <v>45</v>
      </c>
      <c r="T41" s="86" t="s">
        <v>269</v>
      </c>
      <c r="U41" s="86" t="s">
        <v>285</v>
      </c>
      <c r="V41" t="s">
        <v>257</v>
      </c>
      <c r="W41">
        <v>307</v>
      </c>
      <c r="X41">
        <v>17</v>
      </c>
      <c r="Y41">
        <v>250</v>
      </c>
      <c r="Z41">
        <v>1</v>
      </c>
      <c r="AA41">
        <v>0</v>
      </c>
      <c r="AB41">
        <v>0</v>
      </c>
      <c r="AC41">
        <v>575</v>
      </c>
      <c r="AD41" s="92">
        <v>2.1551421551421552E-2</v>
      </c>
      <c r="AE41" s="92">
        <v>3.3203125E-2</v>
      </c>
      <c r="AF41" s="92">
        <v>1.755001755001755E-2</v>
      </c>
      <c r="AG41" s="92">
        <v>1.953125E-3</v>
      </c>
      <c r="AH41" s="92">
        <v>0</v>
      </c>
      <c r="AI41" s="92">
        <v>0</v>
      </c>
      <c r="AJ41" s="92">
        <v>3.8964559192247748E-2</v>
      </c>
      <c r="AK41">
        <v>0</v>
      </c>
      <c r="AL41">
        <v>0</v>
      </c>
      <c r="AM41">
        <v>35</v>
      </c>
      <c r="AN41">
        <v>11</v>
      </c>
      <c r="AO41">
        <v>336</v>
      </c>
      <c r="AP41">
        <v>22</v>
      </c>
      <c r="AQ41">
        <v>864</v>
      </c>
      <c r="AR41">
        <v>39</v>
      </c>
      <c r="AS41">
        <v>4737</v>
      </c>
      <c r="AT41">
        <v>67</v>
      </c>
      <c r="AU41">
        <v>5464</v>
      </c>
      <c r="AV41">
        <v>72</v>
      </c>
      <c r="AW41">
        <v>5768</v>
      </c>
      <c r="AX41">
        <v>77</v>
      </c>
      <c r="AY41">
        <v>6471</v>
      </c>
      <c r="AZ41">
        <v>90</v>
      </c>
      <c r="BA41">
        <v>7253</v>
      </c>
      <c r="BB41">
        <v>95</v>
      </c>
      <c r="BC41" t="s">
        <v>311</v>
      </c>
      <c r="BD41" t="s">
        <v>311</v>
      </c>
      <c r="BE41" s="92">
        <v>0</v>
      </c>
      <c r="BF41" s="92">
        <v>0</v>
      </c>
      <c r="BG41" s="92">
        <v>2.4570024570024569E-3</v>
      </c>
      <c r="BH41" s="92">
        <v>2.1484375E-2</v>
      </c>
      <c r="BI41" s="92">
        <v>2.3587223587223587E-2</v>
      </c>
      <c r="BJ41" s="92">
        <v>4.296875E-2</v>
      </c>
      <c r="BK41" s="92">
        <v>6.065286065286065E-2</v>
      </c>
      <c r="BL41" s="92">
        <v>7.6171875E-2</v>
      </c>
      <c r="BM41" s="92">
        <v>0.33253773253773256</v>
      </c>
      <c r="BN41" s="92">
        <v>0.130859375</v>
      </c>
      <c r="BO41" s="92">
        <v>0.3835731835731836</v>
      </c>
      <c r="BP41" s="92">
        <v>0.140625</v>
      </c>
      <c r="BQ41" s="92">
        <v>0.40491400491400492</v>
      </c>
      <c r="BR41" s="92">
        <v>0.150390625</v>
      </c>
      <c r="BS41" s="92">
        <v>0.45426465426465429</v>
      </c>
      <c r="BT41" s="92">
        <v>0.17578125</v>
      </c>
      <c r="BU41" s="92">
        <v>0.50916110916110913</v>
      </c>
      <c r="BV41" s="92">
        <v>0.185546875</v>
      </c>
      <c r="BW41" s="92" t="s">
        <v>311</v>
      </c>
      <c r="BX41" s="92" t="s">
        <v>311</v>
      </c>
      <c r="BY41" s="92" t="s">
        <v>317</v>
      </c>
    </row>
    <row r="42" spans="1:77" hidden="1" x14ac:dyDescent="0.25">
      <c r="A42" s="87" t="s">
        <v>31</v>
      </c>
      <c r="B42" s="87" t="s">
        <v>311</v>
      </c>
      <c r="C42" s="87" t="s">
        <v>311</v>
      </c>
      <c r="D42" s="87" t="s">
        <v>311</v>
      </c>
      <c r="E42" s="87" t="s">
        <v>311</v>
      </c>
      <c r="F42" s="87">
        <v>0</v>
      </c>
      <c r="G42" s="87">
        <v>0</v>
      </c>
      <c r="H42" s="87">
        <v>0</v>
      </c>
      <c r="I42" s="87">
        <v>28409</v>
      </c>
      <c r="J42" s="87">
        <v>2625</v>
      </c>
      <c r="K42" s="92" t="s">
        <v>311</v>
      </c>
      <c r="L42" s="92" t="s">
        <v>311</v>
      </c>
      <c r="M42" s="92" t="s">
        <v>311</v>
      </c>
      <c r="N42" s="92" t="s">
        <v>311</v>
      </c>
      <c r="O42" s="92">
        <v>0</v>
      </c>
      <c r="P42" s="92">
        <v>0</v>
      </c>
      <c r="Q42" s="92">
        <v>0</v>
      </c>
      <c r="R42" s="87">
        <v>46</v>
      </c>
      <c r="S42" s="87">
        <v>46</v>
      </c>
      <c r="T42" s="87" t="s">
        <v>270</v>
      </c>
      <c r="U42" s="87" t="s">
        <v>285</v>
      </c>
      <c r="V42" t="s">
        <v>258</v>
      </c>
      <c r="W42">
        <v>44</v>
      </c>
      <c r="X42">
        <v>34</v>
      </c>
      <c r="Y42">
        <v>288</v>
      </c>
      <c r="Z42">
        <v>23</v>
      </c>
      <c r="AA42">
        <v>0</v>
      </c>
      <c r="AB42">
        <v>0</v>
      </c>
      <c r="AC42">
        <v>389</v>
      </c>
      <c r="AD42" s="92">
        <v>1.5488049561758598E-3</v>
      </c>
      <c r="AE42" s="92">
        <v>1.2952380952380953E-2</v>
      </c>
      <c r="AF42" s="92">
        <v>1.0137632440423809E-2</v>
      </c>
      <c r="AG42" s="92">
        <v>8.7619047619047624E-3</v>
      </c>
      <c r="AH42" s="92">
        <v>0</v>
      </c>
      <c r="AI42" s="92">
        <v>0</v>
      </c>
      <c r="AJ42" s="92">
        <v>1.2534639427724431E-2</v>
      </c>
      <c r="AK42">
        <v>0</v>
      </c>
      <c r="AL42">
        <v>0</v>
      </c>
      <c r="AM42">
        <v>0</v>
      </c>
      <c r="AN42">
        <v>0</v>
      </c>
      <c r="AO42">
        <v>0</v>
      </c>
      <c r="AP42">
        <v>0</v>
      </c>
      <c r="AQ42">
        <v>0</v>
      </c>
      <c r="AR42">
        <v>0</v>
      </c>
      <c r="AS42">
        <v>0</v>
      </c>
      <c r="AT42">
        <v>0</v>
      </c>
      <c r="AU42">
        <v>0</v>
      </c>
      <c r="AV42">
        <v>0</v>
      </c>
      <c r="AW42">
        <v>112</v>
      </c>
      <c r="AX42">
        <v>13</v>
      </c>
      <c r="AY42">
        <v>0</v>
      </c>
      <c r="AZ42">
        <v>0</v>
      </c>
      <c r="BA42">
        <v>0</v>
      </c>
      <c r="BB42">
        <v>0</v>
      </c>
      <c r="BC42" t="s">
        <v>311</v>
      </c>
      <c r="BD42" t="s">
        <v>311</v>
      </c>
      <c r="BE42" s="92">
        <v>0</v>
      </c>
      <c r="BF42" s="92">
        <v>0</v>
      </c>
      <c r="BG42" s="92">
        <v>0</v>
      </c>
      <c r="BH42" s="92">
        <v>0</v>
      </c>
      <c r="BI42" s="92">
        <v>0</v>
      </c>
      <c r="BJ42" s="92">
        <v>0</v>
      </c>
      <c r="BK42" s="92">
        <v>0</v>
      </c>
      <c r="BL42" s="92">
        <v>0</v>
      </c>
      <c r="BM42" s="92">
        <v>0</v>
      </c>
      <c r="BN42" s="92">
        <v>0</v>
      </c>
      <c r="BO42" s="92">
        <v>0</v>
      </c>
      <c r="BP42" s="92">
        <v>0</v>
      </c>
      <c r="BQ42" s="92">
        <v>3.9424126157203707E-3</v>
      </c>
      <c r="BR42" s="92">
        <v>4.952380952380952E-3</v>
      </c>
      <c r="BS42" s="92">
        <v>0</v>
      </c>
      <c r="BT42" s="92">
        <v>0</v>
      </c>
      <c r="BU42" s="92">
        <v>0</v>
      </c>
      <c r="BV42" s="92">
        <v>0</v>
      </c>
      <c r="BW42" s="92" t="s">
        <v>311</v>
      </c>
      <c r="BX42" s="92" t="s">
        <v>311</v>
      </c>
      <c r="BY42" s="92" t="s">
        <v>317</v>
      </c>
    </row>
    <row r="43" spans="1:77" hidden="1" x14ac:dyDescent="0.25">
      <c r="A43" s="86" t="s">
        <v>32</v>
      </c>
      <c r="B43" s="86" t="s">
        <v>311</v>
      </c>
      <c r="C43" s="86" t="s">
        <v>311</v>
      </c>
      <c r="D43" s="86" t="s">
        <v>311</v>
      </c>
      <c r="E43" s="86" t="s">
        <v>311</v>
      </c>
      <c r="F43" s="86">
        <v>0</v>
      </c>
      <c r="G43" s="86">
        <v>0</v>
      </c>
      <c r="H43" s="86">
        <v>0</v>
      </c>
      <c r="I43" s="86">
        <v>19254</v>
      </c>
      <c r="J43" s="86">
        <v>398</v>
      </c>
      <c r="K43" s="93" t="s">
        <v>311</v>
      </c>
      <c r="L43" s="93" t="s">
        <v>311</v>
      </c>
      <c r="M43" s="93" t="s">
        <v>311</v>
      </c>
      <c r="N43" s="93" t="s">
        <v>311</v>
      </c>
      <c r="O43" s="93">
        <v>0</v>
      </c>
      <c r="P43" s="93">
        <v>0</v>
      </c>
      <c r="Q43" s="93">
        <v>0</v>
      </c>
      <c r="R43" s="86">
        <v>46</v>
      </c>
      <c r="S43" s="86">
        <v>46</v>
      </c>
      <c r="T43" s="86" t="s">
        <v>270</v>
      </c>
      <c r="U43" s="86" t="s">
        <v>285</v>
      </c>
      <c r="V43" t="s">
        <v>258</v>
      </c>
      <c r="W43">
        <v>17</v>
      </c>
      <c r="X43">
        <v>0</v>
      </c>
      <c r="Y43">
        <v>162</v>
      </c>
      <c r="Z43">
        <v>0</v>
      </c>
      <c r="AA43">
        <v>0</v>
      </c>
      <c r="AB43">
        <v>0</v>
      </c>
      <c r="AC43">
        <v>179</v>
      </c>
      <c r="AD43" s="92">
        <v>8.8293341643294902E-4</v>
      </c>
      <c r="AE43" s="92">
        <v>0</v>
      </c>
      <c r="AF43" s="92">
        <v>8.4138360860081026E-3</v>
      </c>
      <c r="AG43" s="92">
        <v>0</v>
      </c>
      <c r="AH43" s="92">
        <v>0</v>
      </c>
      <c r="AI43" s="92">
        <v>0</v>
      </c>
      <c r="AJ43" s="92">
        <v>9.108487685731732E-3</v>
      </c>
      <c r="AK43">
        <v>0</v>
      </c>
      <c r="AL43">
        <v>0</v>
      </c>
      <c r="AM43">
        <v>0</v>
      </c>
      <c r="AN43">
        <v>0</v>
      </c>
      <c r="AO43">
        <v>0</v>
      </c>
      <c r="AP43">
        <v>0</v>
      </c>
      <c r="AQ43">
        <v>0</v>
      </c>
      <c r="AR43">
        <v>0</v>
      </c>
      <c r="AS43">
        <v>0</v>
      </c>
      <c r="AT43">
        <v>0</v>
      </c>
      <c r="AU43">
        <v>0</v>
      </c>
      <c r="AV43">
        <v>0</v>
      </c>
      <c r="AW43">
        <v>0</v>
      </c>
      <c r="AX43">
        <v>0</v>
      </c>
      <c r="AY43">
        <v>0</v>
      </c>
      <c r="AZ43">
        <v>0</v>
      </c>
      <c r="BA43">
        <v>0</v>
      </c>
      <c r="BB43">
        <v>0</v>
      </c>
      <c r="BC43" t="s">
        <v>311</v>
      </c>
      <c r="BD43" t="s">
        <v>311</v>
      </c>
      <c r="BE43" s="92">
        <v>0</v>
      </c>
      <c r="BF43" s="92">
        <v>0</v>
      </c>
      <c r="BG43" s="92">
        <v>0</v>
      </c>
      <c r="BH43" s="92">
        <v>0</v>
      </c>
      <c r="BI43" s="92">
        <v>0</v>
      </c>
      <c r="BJ43" s="92">
        <v>0</v>
      </c>
      <c r="BK43" s="92">
        <v>0</v>
      </c>
      <c r="BL43" s="92">
        <v>0</v>
      </c>
      <c r="BM43" s="92">
        <v>0</v>
      </c>
      <c r="BN43" s="92">
        <v>0</v>
      </c>
      <c r="BO43" s="92">
        <v>0</v>
      </c>
      <c r="BP43" s="92">
        <v>0</v>
      </c>
      <c r="BQ43" s="92">
        <v>0</v>
      </c>
      <c r="BR43" s="92">
        <v>0</v>
      </c>
      <c r="BS43" s="92">
        <v>0</v>
      </c>
      <c r="BT43" s="92">
        <v>0</v>
      </c>
      <c r="BU43" s="92">
        <v>0</v>
      </c>
      <c r="BV43" s="92">
        <v>0</v>
      </c>
      <c r="BW43" s="92" t="s">
        <v>311</v>
      </c>
      <c r="BX43" s="92" t="s">
        <v>311</v>
      </c>
      <c r="BY43" s="92" t="s">
        <v>317</v>
      </c>
    </row>
    <row r="44" spans="1:77" hidden="1" x14ac:dyDescent="0.25">
      <c r="A44" s="87" t="s">
        <v>33</v>
      </c>
      <c r="B44" s="87" t="s">
        <v>311</v>
      </c>
      <c r="C44" s="87" t="s">
        <v>311</v>
      </c>
      <c r="D44" s="87" t="s">
        <v>311</v>
      </c>
      <c r="E44" s="87" t="s">
        <v>311</v>
      </c>
      <c r="F44" s="87">
        <v>0</v>
      </c>
      <c r="G44" s="87">
        <v>0</v>
      </c>
      <c r="H44" s="87">
        <v>0</v>
      </c>
      <c r="I44" s="87">
        <v>3359</v>
      </c>
      <c r="J44" s="87">
        <v>744</v>
      </c>
      <c r="K44" s="92" t="s">
        <v>311</v>
      </c>
      <c r="L44" s="92" t="s">
        <v>311</v>
      </c>
      <c r="M44" s="92" t="s">
        <v>311</v>
      </c>
      <c r="N44" s="92" t="s">
        <v>311</v>
      </c>
      <c r="O44" s="92">
        <v>0</v>
      </c>
      <c r="P44" s="92">
        <v>0</v>
      </c>
      <c r="Q44" s="92">
        <v>0</v>
      </c>
      <c r="R44" s="87">
        <v>46</v>
      </c>
      <c r="S44" s="87">
        <v>46</v>
      </c>
      <c r="T44" s="87" t="s">
        <v>270</v>
      </c>
      <c r="U44" s="87" t="s">
        <v>285</v>
      </c>
      <c r="V44" t="s">
        <v>258</v>
      </c>
      <c r="W44">
        <v>84</v>
      </c>
      <c r="X44">
        <v>1</v>
      </c>
      <c r="Y44">
        <v>19</v>
      </c>
      <c r="Z44">
        <v>0</v>
      </c>
      <c r="AA44">
        <v>0</v>
      </c>
      <c r="AB44">
        <v>0</v>
      </c>
      <c r="AC44">
        <v>104</v>
      </c>
      <c r="AD44" s="92">
        <v>2.5007442691277165E-2</v>
      </c>
      <c r="AE44" s="92">
        <v>1.3440860215053765E-3</v>
      </c>
      <c r="AF44" s="92">
        <v>5.6564453706460256E-3</v>
      </c>
      <c r="AG44" s="92">
        <v>0</v>
      </c>
      <c r="AH44" s="92">
        <v>0</v>
      </c>
      <c r="AI44" s="92">
        <v>0</v>
      </c>
      <c r="AJ44" s="92">
        <v>2.5347306848647329E-2</v>
      </c>
      <c r="AK44">
        <v>0</v>
      </c>
      <c r="AL44">
        <v>0</v>
      </c>
      <c r="AM44">
        <v>0</v>
      </c>
      <c r="AN44">
        <v>0</v>
      </c>
      <c r="AO44">
        <v>0</v>
      </c>
      <c r="AP44">
        <v>0</v>
      </c>
      <c r="AQ44">
        <v>0</v>
      </c>
      <c r="AR44">
        <v>0</v>
      </c>
      <c r="AS44">
        <v>0</v>
      </c>
      <c r="AT44">
        <v>0</v>
      </c>
      <c r="AU44">
        <v>0</v>
      </c>
      <c r="AV44">
        <v>0</v>
      </c>
      <c r="AW44">
        <v>0</v>
      </c>
      <c r="AX44">
        <v>0</v>
      </c>
      <c r="AY44">
        <v>0</v>
      </c>
      <c r="AZ44">
        <v>0</v>
      </c>
      <c r="BA44">
        <v>1</v>
      </c>
      <c r="BB44">
        <v>0</v>
      </c>
      <c r="BC44" t="s">
        <v>311</v>
      </c>
      <c r="BD44" t="s">
        <v>311</v>
      </c>
      <c r="BE44" s="92">
        <v>0</v>
      </c>
      <c r="BF44" s="92">
        <v>0</v>
      </c>
      <c r="BG44" s="92">
        <v>0</v>
      </c>
      <c r="BH44" s="92">
        <v>0</v>
      </c>
      <c r="BI44" s="92">
        <v>0</v>
      </c>
      <c r="BJ44" s="92">
        <v>0</v>
      </c>
      <c r="BK44" s="92">
        <v>0</v>
      </c>
      <c r="BL44" s="92">
        <v>0</v>
      </c>
      <c r="BM44" s="92">
        <v>0</v>
      </c>
      <c r="BN44" s="92">
        <v>0</v>
      </c>
      <c r="BO44" s="92">
        <v>0</v>
      </c>
      <c r="BP44" s="92">
        <v>0</v>
      </c>
      <c r="BQ44" s="92">
        <v>0</v>
      </c>
      <c r="BR44" s="92">
        <v>0</v>
      </c>
      <c r="BS44" s="92">
        <v>0</v>
      </c>
      <c r="BT44" s="92">
        <v>0</v>
      </c>
      <c r="BU44" s="92">
        <v>2.9770765108663293E-4</v>
      </c>
      <c r="BV44" s="92">
        <v>0</v>
      </c>
      <c r="BW44" s="92" t="s">
        <v>311</v>
      </c>
      <c r="BX44" s="92" t="s">
        <v>311</v>
      </c>
      <c r="BY44" s="92" t="s">
        <v>317</v>
      </c>
    </row>
    <row r="45" spans="1:77" hidden="1" x14ac:dyDescent="0.25">
      <c r="A45" s="86" t="s">
        <v>34</v>
      </c>
      <c r="B45" s="86" t="s">
        <v>311</v>
      </c>
      <c r="C45" s="86" t="s">
        <v>311</v>
      </c>
      <c r="D45" s="86" t="s">
        <v>311</v>
      </c>
      <c r="E45" s="86" t="s">
        <v>311</v>
      </c>
      <c r="F45" s="86">
        <v>0</v>
      </c>
      <c r="G45" s="86">
        <v>0</v>
      </c>
      <c r="H45" s="86">
        <v>0</v>
      </c>
      <c r="I45" s="86">
        <v>28214</v>
      </c>
      <c r="J45" s="86">
        <v>7820</v>
      </c>
      <c r="K45" s="93" t="s">
        <v>311</v>
      </c>
      <c r="L45" s="93" t="s">
        <v>311</v>
      </c>
      <c r="M45" s="93" t="s">
        <v>311</v>
      </c>
      <c r="N45" s="93" t="s">
        <v>311</v>
      </c>
      <c r="O45" s="93">
        <v>0</v>
      </c>
      <c r="P45" s="93">
        <v>0</v>
      </c>
      <c r="Q45" s="93">
        <v>0</v>
      </c>
      <c r="R45" s="86">
        <v>46</v>
      </c>
      <c r="S45" s="86">
        <v>46</v>
      </c>
      <c r="T45" s="86" t="s">
        <v>270</v>
      </c>
      <c r="U45" s="86" t="s">
        <v>285</v>
      </c>
      <c r="V45" t="s">
        <v>258</v>
      </c>
      <c r="W45">
        <v>348</v>
      </c>
      <c r="X45">
        <v>146</v>
      </c>
      <c r="Y45">
        <v>518</v>
      </c>
      <c r="Z45">
        <v>540</v>
      </c>
      <c r="AA45">
        <v>0</v>
      </c>
      <c r="AB45">
        <v>0</v>
      </c>
      <c r="AC45">
        <v>1552</v>
      </c>
      <c r="AD45" s="92">
        <v>1.2334302119515134E-2</v>
      </c>
      <c r="AE45" s="92">
        <v>1.8670076726342712E-2</v>
      </c>
      <c r="AF45" s="92">
        <v>1.8359679591692067E-2</v>
      </c>
      <c r="AG45" s="92">
        <v>6.9053708439897693E-2</v>
      </c>
      <c r="AH45" s="92">
        <v>0</v>
      </c>
      <c r="AI45" s="92">
        <v>0</v>
      </c>
      <c r="AJ45" s="92">
        <v>4.3070433479491591E-2</v>
      </c>
      <c r="AK45">
        <v>0</v>
      </c>
      <c r="AL45">
        <v>0</v>
      </c>
      <c r="AM45">
        <v>0</v>
      </c>
      <c r="AN45">
        <v>0</v>
      </c>
      <c r="AO45">
        <v>0</v>
      </c>
      <c r="AP45">
        <v>0</v>
      </c>
      <c r="AQ45">
        <v>0</v>
      </c>
      <c r="AR45">
        <v>0</v>
      </c>
      <c r="AS45">
        <v>0</v>
      </c>
      <c r="AT45">
        <v>0</v>
      </c>
      <c r="AU45">
        <v>0</v>
      </c>
      <c r="AV45">
        <v>0</v>
      </c>
      <c r="AW45">
        <v>0</v>
      </c>
      <c r="AX45">
        <v>0</v>
      </c>
      <c r="AY45">
        <v>0</v>
      </c>
      <c r="AZ45">
        <v>0</v>
      </c>
      <c r="BA45">
        <v>0</v>
      </c>
      <c r="BB45">
        <v>0</v>
      </c>
      <c r="BC45" t="s">
        <v>311</v>
      </c>
      <c r="BD45" t="s">
        <v>311</v>
      </c>
      <c r="BE45" s="92">
        <v>0</v>
      </c>
      <c r="BF45" s="92">
        <v>0</v>
      </c>
      <c r="BG45" s="92">
        <v>0</v>
      </c>
      <c r="BH45" s="92">
        <v>0</v>
      </c>
      <c r="BI45" s="92">
        <v>0</v>
      </c>
      <c r="BJ45" s="92">
        <v>0</v>
      </c>
      <c r="BK45" s="92">
        <v>0</v>
      </c>
      <c r="BL45" s="92">
        <v>0</v>
      </c>
      <c r="BM45" s="92">
        <v>0</v>
      </c>
      <c r="BN45" s="92">
        <v>0</v>
      </c>
      <c r="BO45" s="92">
        <v>0</v>
      </c>
      <c r="BP45" s="92">
        <v>0</v>
      </c>
      <c r="BQ45" s="92">
        <v>0</v>
      </c>
      <c r="BR45" s="92">
        <v>0</v>
      </c>
      <c r="BS45" s="92">
        <v>0</v>
      </c>
      <c r="BT45" s="92">
        <v>0</v>
      </c>
      <c r="BU45" s="92">
        <v>0</v>
      </c>
      <c r="BV45" s="92">
        <v>0</v>
      </c>
      <c r="BW45" s="92" t="s">
        <v>311</v>
      </c>
      <c r="BX45" s="92" t="s">
        <v>311</v>
      </c>
      <c r="BY45" s="92" t="s">
        <v>317</v>
      </c>
    </row>
    <row r="46" spans="1:77" hidden="1" x14ac:dyDescent="0.25">
      <c r="A46" s="87" t="s">
        <v>35</v>
      </c>
      <c r="B46" s="87" t="s">
        <v>311</v>
      </c>
      <c r="C46" s="87" t="s">
        <v>311</v>
      </c>
      <c r="D46" s="87" t="s">
        <v>311</v>
      </c>
      <c r="E46" s="87" t="s">
        <v>311</v>
      </c>
      <c r="F46" s="87">
        <v>198</v>
      </c>
      <c r="G46" s="87">
        <v>0</v>
      </c>
      <c r="H46" s="87">
        <v>198</v>
      </c>
      <c r="I46" s="87">
        <v>12487</v>
      </c>
      <c r="J46" s="87">
        <v>3188</v>
      </c>
      <c r="K46" s="92" t="s">
        <v>311</v>
      </c>
      <c r="L46" s="92" t="s">
        <v>311</v>
      </c>
      <c r="M46" s="92" t="s">
        <v>311</v>
      </c>
      <c r="N46" s="92" t="s">
        <v>311</v>
      </c>
      <c r="O46" s="92">
        <v>1.5856490750380394E-2</v>
      </c>
      <c r="P46" s="92">
        <v>0</v>
      </c>
      <c r="Q46" s="92">
        <v>1.2631578947368421E-2</v>
      </c>
      <c r="R46" s="87">
        <v>30</v>
      </c>
      <c r="S46" s="87">
        <v>33</v>
      </c>
      <c r="T46" s="87" t="s">
        <v>270</v>
      </c>
      <c r="U46" s="87" t="s">
        <v>285</v>
      </c>
      <c r="V46" t="s">
        <v>258</v>
      </c>
      <c r="W46">
        <v>111</v>
      </c>
      <c r="X46">
        <v>5</v>
      </c>
      <c r="Y46">
        <v>251</v>
      </c>
      <c r="Z46">
        <v>55</v>
      </c>
      <c r="AA46">
        <v>0</v>
      </c>
      <c r="AB46">
        <v>0</v>
      </c>
      <c r="AC46">
        <v>422</v>
      </c>
      <c r="AD46" s="92">
        <v>8.8892448146071917E-3</v>
      </c>
      <c r="AE46" s="92">
        <v>1.5683814303638645E-3</v>
      </c>
      <c r="AF46" s="92">
        <v>2.0100904941138784E-2</v>
      </c>
      <c r="AG46" s="92">
        <v>1.7252195734002509E-2</v>
      </c>
      <c r="AH46" s="92">
        <v>0</v>
      </c>
      <c r="AI46" s="92">
        <v>0</v>
      </c>
      <c r="AJ46" s="92">
        <v>2.6921850079744816E-2</v>
      </c>
      <c r="AK46">
        <v>0</v>
      </c>
      <c r="AL46">
        <v>0</v>
      </c>
      <c r="AM46">
        <v>0</v>
      </c>
      <c r="AN46">
        <v>0</v>
      </c>
      <c r="AO46">
        <v>0</v>
      </c>
      <c r="AP46">
        <v>0</v>
      </c>
      <c r="AQ46">
        <v>0</v>
      </c>
      <c r="AR46">
        <v>0</v>
      </c>
      <c r="AS46">
        <v>0</v>
      </c>
      <c r="AT46">
        <v>0</v>
      </c>
      <c r="AU46">
        <v>0</v>
      </c>
      <c r="AV46">
        <v>0</v>
      </c>
      <c r="AW46">
        <v>0</v>
      </c>
      <c r="AX46">
        <v>0</v>
      </c>
      <c r="AY46">
        <v>0</v>
      </c>
      <c r="AZ46">
        <v>0</v>
      </c>
      <c r="BA46">
        <v>0</v>
      </c>
      <c r="BB46">
        <v>0</v>
      </c>
      <c r="BC46" t="s">
        <v>311</v>
      </c>
      <c r="BD46" t="s">
        <v>311</v>
      </c>
      <c r="BE46" s="92">
        <v>0</v>
      </c>
      <c r="BF46" s="92">
        <v>0</v>
      </c>
      <c r="BG46" s="92">
        <v>0</v>
      </c>
      <c r="BH46" s="92">
        <v>0</v>
      </c>
      <c r="BI46" s="92">
        <v>0</v>
      </c>
      <c r="BJ46" s="92">
        <v>0</v>
      </c>
      <c r="BK46" s="92">
        <v>0</v>
      </c>
      <c r="BL46" s="92">
        <v>0</v>
      </c>
      <c r="BM46" s="92">
        <v>0</v>
      </c>
      <c r="BN46" s="92">
        <v>0</v>
      </c>
      <c r="BO46" s="92">
        <v>0</v>
      </c>
      <c r="BP46" s="92">
        <v>0</v>
      </c>
      <c r="BQ46" s="92">
        <v>0</v>
      </c>
      <c r="BR46" s="92">
        <v>0</v>
      </c>
      <c r="BS46" s="92">
        <v>0</v>
      </c>
      <c r="BT46" s="92">
        <v>0</v>
      </c>
      <c r="BU46" s="92">
        <v>0</v>
      </c>
      <c r="BV46" s="92">
        <v>0</v>
      </c>
      <c r="BW46" s="92" t="s">
        <v>311</v>
      </c>
      <c r="BX46" s="92" t="s">
        <v>311</v>
      </c>
      <c r="BY46" s="92" t="s">
        <v>317</v>
      </c>
    </row>
    <row r="47" spans="1:77" hidden="1" x14ac:dyDescent="0.25">
      <c r="A47" s="86" t="s">
        <v>36</v>
      </c>
      <c r="B47" s="86" t="s">
        <v>311</v>
      </c>
      <c r="C47" s="86" t="s">
        <v>311</v>
      </c>
      <c r="D47" s="86" t="s">
        <v>311</v>
      </c>
      <c r="E47" s="86" t="s">
        <v>311</v>
      </c>
      <c r="F47" s="86">
        <v>2727</v>
      </c>
      <c r="G47" s="86">
        <v>129</v>
      </c>
      <c r="H47" s="86">
        <v>2856</v>
      </c>
      <c r="I47" s="86">
        <v>7364</v>
      </c>
      <c r="J47" s="86">
        <v>860</v>
      </c>
      <c r="K47" s="93" t="s">
        <v>311</v>
      </c>
      <c r="L47" s="93" t="s">
        <v>311</v>
      </c>
      <c r="M47" s="93" t="s">
        <v>311</v>
      </c>
      <c r="N47" s="93" t="s">
        <v>311</v>
      </c>
      <c r="O47" s="93">
        <v>0.37031504617055949</v>
      </c>
      <c r="P47" s="93">
        <v>0.15</v>
      </c>
      <c r="Q47" s="93">
        <v>0.34727626459143968</v>
      </c>
      <c r="R47" s="86">
        <v>6</v>
      </c>
      <c r="S47" s="86">
        <v>2</v>
      </c>
      <c r="T47" s="86" t="s">
        <v>270</v>
      </c>
      <c r="U47" s="86" t="s">
        <v>285</v>
      </c>
      <c r="V47" t="s">
        <v>258</v>
      </c>
      <c r="W47">
        <v>68</v>
      </c>
      <c r="X47">
        <v>85</v>
      </c>
      <c r="Y47">
        <v>0</v>
      </c>
      <c r="Z47">
        <v>0</v>
      </c>
      <c r="AA47">
        <v>0</v>
      </c>
      <c r="AB47">
        <v>0</v>
      </c>
      <c r="AC47">
        <v>153</v>
      </c>
      <c r="AD47" s="92">
        <v>9.234111895708854E-3</v>
      </c>
      <c r="AE47" s="92">
        <v>9.8837209302325577E-2</v>
      </c>
      <c r="AF47" s="92">
        <v>0</v>
      </c>
      <c r="AG47" s="92">
        <v>0</v>
      </c>
      <c r="AH47" s="92">
        <v>0</v>
      </c>
      <c r="AI47" s="92">
        <v>0</v>
      </c>
      <c r="AJ47" s="92">
        <v>1.860408560311284E-2</v>
      </c>
      <c r="AK47">
        <v>0</v>
      </c>
      <c r="AL47">
        <v>0</v>
      </c>
      <c r="AM47">
        <v>0</v>
      </c>
      <c r="AN47">
        <v>0</v>
      </c>
      <c r="AO47">
        <v>0</v>
      </c>
      <c r="AP47">
        <v>0</v>
      </c>
      <c r="AQ47">
        <v>0</v>
      </c>
      <c r="AR47">
        <v>0</v>
      </c>
      <c r="AS47">
        <v>0</v>
      </c>
      <c r="AT47">
        <v>0</v>
      </c>
      <c r="AU47">
        <v>27</v>
      </c>
      <c r="AV47">
        <v>23</v>
      </c>
      <c r="AW47">
        <v>32</v>
      </c>
      <c r="AX47">
        <v>30</v>
      </c>
      <c r="AY47">
        <v>42</v>
      </c>
      <c r="AZ47">
        <v>44</v>
      </c>
      <c r="BA47">
        <v>50</v>
      </c>
      <c r="BB47">
        <v>59</v>
      </c>
      <c r="BC47" t="s">
        <v>311</v>
      </c>
      <c r="BD47" t="s">
        <v>311</v>
      </c>
      <c r="BE47" s="92">
        <v>0</v>
      </c>
      <c r="BF47" s="92">
        <v>0</v>
      </c>
      <c r="BG47" s="92">
        <v>0</v>
      </c>
      <c r="BH47" s="92">
        <v>0</v>
      </c>
      <c r="BI47" s="92">
        <v>0</v>
      </c>
      <c r="BJ47" s="92">
        <v>0</v>
      </c>
      <c r="BK47" s="92">
        <v>0</v>
      </c>
      <c r="BL47" s="92">
        <v>0</v>
      </c>
      <c r="BM47" s="92">
        <v>0</v>
      </c>
      <c r="BN47" s="92">
        <v>0</v>
      </c>
      <c r="BO47" s="92">
        <v>3.6664856056491039E-3</v>
      </c>
      <c r="BP47" s="92">
        <v>2.6744186046511628E-2</v>
      </c>
      <c r="BQ47" s="92">
        <v>4.3454644215100485E-3</v>
      </c>
      <c r="BR47" s="92">
        <v>3.4883720930232558E-2</v>
      </c>
      <c r="BS47" s="92">
        <v>5.7034220532319393E-3</v>
      </c>
      <c r="BT47" s="92">
        <v>5.1162790697674418E-2</v>
      </c>
      <c r="BU47" s="92">
        <v>6.7897881586094517E-3</v>
      </c>
      <c r="BV47" s="92">
        <v>6.86046511627907E-2</v>
      </c>
      <c r="BW47" s="92" t="s">
        <v>311</v>
      </c>
      <c r="BX47" s="92" t="s">
        <v>311</v>
      </c>
      <c r="BY47" s="92" t="s">
        <v>317</v>
      </c>
    </row>
    <row r="48" spans="1:77" hidden="1" x14ac:dyDescent="0.25">
      <c r="A48" s="87" t="s">
        <v>37</v>
      </c>
      <c r="B48" s="87" t="s">
        <v>311</v>
      </c>
      <c r="C48" s="87" t="s">
        <v>311</v>
      </c>
      <c r="D48" s="87" t="s">
        <v>311</v>
      </c>
      <c r="E48" s="87" t="s">
        <v>311</v>
      </c>
      <c r="F48" s="87">
        <v>0</v>
      </c>
      <c r="G48" s="87">
        <v>0</v>
      </c>
      <c r="H48" s="87">
        <v>0</v>
      </c>
      <c r="I48" s="87">
        <v>5712</v>
      </c>
      <c r="J48" s="87">
        <v>2748</v>
      </c>
      <c r="K48" s="92" t="s">
        <v>311</v>
      </c>
      <c r="L48" s="92" t="s">
        <v>311</v>
      </c>
      <c r="M48" s="92" t="s">
        <v>311</v>
      </c>
      <c r="N48" s="92" t="s">
        <v>311</v>
      </c>
      <c r="O48" s="92">
        <v>0</v>
      </c>
      <c r="P48" s="92">
        <v>0</v>
      </c>
      <c r="Q48" s="92">
        <v>0</v>
      </c>
      <c r="R48" s="87">
        <v>46</v>
      </c>
      <c r="S48" s="87">
        <v>46</v>
      </c>
      <c r="T48" s="87" t="s">
        <v>270</v>
      </c>
      <c r="U48" s="87" t="s">
        <v>285</v>
      </c>
      <c r="V48" t="s">
        <v>258</v>
      </c>
      <c r="W48">
        <v>0</v>
      </c>
      <c r="X48">
        <v>0</v>
      </c>
      <c r="Y48">
        <v>152</v>
      </c>
      <c r="Z48">
        <v>85</v>
      </c>
      <c r="AA48">
        <v>0</v>
      </c>
      <c r="AB48">
        <v>0</v>
      </c>
      <c r="AC48">
        <v>237</v>
      </c>
      <c r="AD48" s="92">
        <v>0</v>
      </c>
      <c r="AE48" s="92">
        <v>0</v>
      </c>
      <c r="AF48" s="92">
        <v>2.661064425770308E-2</v>
      </c>
      <c r="AG48" s="92">
        <v>3.0931586608442505E-2</v>
      </c>
      <c r="AH48" s="92">
        <v>0</v>
      </c>
      <c r="AI48" s="92">
        <v>0</v>
      </c>
      <c r="AJ48" s="92">
        <v>2.8014184397163119E-2</v>
      </c>
      <c r="AK48">
        <v>0</v>
      </c>
      <c r="AL48">
        <v>0</v>
      </c>
      <c r="AM48">
        <v>0</v>
      </c>
      <c r="AN48">
        <v>0</v>
      </c>
      <c r="AO48">
        <v>0</v>
      </c>
      <c r="AP48">
        <v>0</v>
      </c>
      <c r="AQ48">
        <v>0</v>
      </c>
      <c r="AR48">
        <v>0</v>
      </c>
      <c r="AS48">
        <v>0</v>
      </c>
      <c r="AT48">
        <v>0</v>
      </c>
      <c r="AU48">
        <v>0</v>
      </c>
      <c r="AV48">
        <v>0</v>
      </c>
      <c r="AW48">
        <v>0</v>
      </c>
      <c r="AX48">
        <v>0</v>
      </c>
      <c r="AY48">
        <v>5</v>
      </c>
      <c r="AZ48">
        <v>24</v>
      </c>
      <c r="BA48">
        <v>20</v>
      </c>
      <c r="BB48">
        <v>47</v>
      </c>
      <c r="BC48" t="s">
        <v>311</v>
      </c>
      <c r="BD48" t="s">
        <v>311</v>
      </c>
      <c r="BE48" s="92">
        <v>0</v>
      </c>
      <c r="BF48" s="92">
        <v>0</v>
      </c>
      <c r="BG48" s="92">
        <v>0</v>
      </c>
      <c r="BH48" s="92">
        <v>0</v>
      </c>
      <c r="BI48" s="92">
        <v>0</v>
      </c>
      <c r="BJ48" s="92">
        <v>0</v>
      </c>
      <c r="BK48" s="92">
        <v>0</v>
      </c>
      <c r="BL48" s="92">
        <v>0</v>
      </c>
      <c r="BM48" s="92">
        <v>0</v>
      </c>
      <c r="BN48" s="92">
        <v>0</v>
      </c>
      <c r="BO48" s="92">
        <v>0</v>
      </c>
      <c r="BP48" s="92">
        <v>0</v>
      </c>
      <c r="BQ48" s="92">
        <v>0</v>
      </c>
      <c r="BR48" s="92">
        <v>0</v>
      </c>
      <c r="BS48" s="92">
        <v>8.7535014005602244E-4</v>
      </c>
      <c r="BT48" s="92">
        <v>8.7336244541484712E-3</v>
      </c>
      <c r="BU48" s="92">
        <v>3.5014005602240898E-3</v>
      </c>
      <c r="BV48" s="92">
        <v>1.710334788937409E-2</v>
      </c>
      <c r="BW48" s="92" t="s">
        <v>311</v>
      </c>
      <c r="BX48" s="92" t="s">
        <v>311</v>
      </c>
      <c r="BY48" s="92" t="s">
        <v>317</v>
      </c>
    </row>
    <row r="49" spans="1:77" hidden="1" x14ac:dyDescent="0.25">
      <c r="A49" s="86" t="s">
        <v>38</v>
      </c>
      <c r="B49" s="86" t="s">
        <v>311</v>
      </c>
      <c r="C49" s="86" t="s">
        <v>311</v>
      </c>
      <c r="D49" s="86" t="s">
        <v>311</v>
      </c>
      <c r="E49" s="86" t="s">
        <v>311</v>
      </c>
      <c r="F49" s="86">
        <v>2769</v>
      </c>
      <c r="G49" s="86">
        <v>14</v>
      </c>
      <c r="H49" s="86">
        <v>2783</v>
      </c>
      <c r="I49" s="86">
        <v>7813</v>
      </c>
      <c r="J49" s="86">
        <v>527</v>
      </c>
      <c r="K49" s="93" t="s">
        <v>311</v>
      </c>
      <c r="L49" s="93" t="s">
        <v>311</v>
      </c>
      <c r="M49" s="93" t="s">
        <v>311</v>
      </c>
      <c r="N49" s="93" t="s">
        <v>311</v>
      </c>
      <c r="O49" s="93">
        <v>0.35440931780366058</v>
      </c>
      <c r="P49" s="93">
        <v>2.6565464895635674E-2</v>
      </c>
      <c r="Q49" s="93">
        <v>0.33369304556354917</v>
      </c>
      <c r="R49" s="86">
        <v>7</v>
      </c>
      <c r="S49" s="86">
        <v>5</v>
      </c>
      <c r="T49" s="86" t="s">
        <v>270</v>
      </c>
      <c r="U49" s="86" t="s">
        <v>285</v>
      </c>
      <c r="V49" t="s">
        <v>258</v>
      </c>
      <c r="W49">
        <v>107</v>
      </c>
      <c r="X49">
        <v>55</v>
      </c>
      <c r="Y49">
        <v>197</v>
      </c>
      <c r="Z49">
        <v>24</v>
      </c>
      <c r="AA49">
        <v>0</v>
      </c>
      <c r="AB49">
        <v>0</v>
      </c>
      <c r="AC49">
        <v>383</v>
      </c>
      <c r="AD49" s="92">
        <v>1.3695123512095226E-2</v>
      </c>
      <c r="AE49" s="92">
        <v>0.10436432637571158</v>
      </c>
      <c r="AF49" s="92">
        <v>2.5214386279278127E-2</v>
      </c>
      <c r="AG49" s="92">
        <v>4.5540796963946868E-2</v>
      </c>
      <c r="AH49" s="92">
        <v>0</v>
      </c>
      <c r="AI49" s="92">
        <v>0</v>
      </c>
      <c r="AJ49" s="92">
        <v>4.5923261390887288E-2</v>
      </c>
      <c r="AK49">
        <v>0</v>
      </c>
      <c r="AL49">
        <v>0</v>
      </c>
      <c r="AM49">
        <v>0</v>
      </c>
      <c r="AN49">
        <v>0</v>
      </c>
      <c r="AO49">
        <v>0</v>
      </c>
      <c r="AP49">
        <v>0</v>
      </c>
      <c r="AQ49">
        <v>0</v>
      </c>
      <c r="AR49">
        <v>0</v>
      </c>
      <c r="AS49">
        <v>0</v>
      </c>
      <c r="AT49">
        <v>0</v>
      </c>
      <c r="AU49">
        <v>0</v>
      </c>
      <c r="AV49">
        <v>0</v>
      </c>
      <c r="AW49">
        <v>0</v>
      </c>
      <c r="AX49">
        <v>0</v>
      </c>
      <c r="AY49">
        <v>0</v>
      </c>
      <c r="AZ49">
        <v>0</v>
      </c>
      <c r="BA49">
        <v>0</v>
      </c>
      <c r="BB49">
        <v>0</v>
      </c>
      <c r="BC49" t="s">
        <v>311</v>
      </c>
      <c r="BD49" t="s">
        <v>311</v>
      </c>
      <c r="BE49" s="92">
        <v>0</v>
      </c>
      <c r="BF49" s="92">
        <v>0</v>
      </c>
      <c r="BG49" s="92">
        <v>0</v>
      </c>
      <c r="BH49" s="92">
        <v>0</v>
      </c>
      <c r="BI49" s="92">
        <v>0</v>
      </c>
      <c r="BJ49" s="92">
        <v>0</v>
      </c>
      <c r="BK49" s="92">
        <v>0</v>
      </c>
      <c r="BL49" s="92">
        <v>0</v>
      </c>
      <c r="BM49" s="92">
        <v>0</v>
      </c>
      <c r="BN49" s="92">
        <v>0</v>
      </c>
      <c r="BO49" s="92">
        <v>0</v>
      </c>
      <c r="BP49" s="92">
        <v>0</v>
      </c>
      <c r="BQ49" s="92">
        <v>0</v>
      </c>
      <c r="BR49" s="92">
        <v>0</v>
      </c>
      <c r="BS49" s="92">
        <v>0</v>
      </c>
      <c r="BT49" s="92">
        <v>0</v>
      </c>
      <c r="BU49" s="92">
        <v>0</v>
      </c>
      <c r="BV49" s="92">
        <v>0</v>
      </c>
      <c r="BW49" s="92" t="s">
        <v>311</v>
      </c>
      <c r="BX49" s="92" t="s">
        <v>311</v>
      </c>
      <c r="BY49" s="92" t="s">
        <v>317</v>
      </c>
    </row>
    <row r="50" spans="1:77" hidden="1" x14ac:dyDescent="0.25">
      <c r="A50" s="87" t="s">
        <v>39</v>
      </c>
      <c r="B50" s="87">
        <v>0</v>
      </c>
      <c r="C50" s="87">
        <v>0</v>
      </c>
      <c r="D50" s="87">
        <v>90</v>
      </c>
      <c r="E50" s="87">
        <v>0</v>
      </c>
      <c r="F50" s="87">
        <v>880</v>
      </c>
      <c r="G50" s="87">
        <v>88</v>
      </c>
      <c r="H50" s="87">
        <v>968</v>
      </c>
      <c r="I50" s="87">
        <v>9617</v>
      </c>
      <c r="J50" s="87">
        <v>2899</v>
      </c>
      <c r="K50" s="92">
        <v>0</v>
      </c>
      <c r="L50" s="92">
        <v>0</v>
      </c>
      <c r="M50" s="92">
        <v>9.3584277841322651E-3</v>
      </c>
      <c r="N50" s="92">
        <v>0</v>
      </c>
      <c r="O50" s="92">
        <v>9.1504627222626603E-2</v>
      </c>
      <c r="P50" s="92">
        <v>3.0355294929285962E-2</v>
      </c>
      <c r="Q50" s="92">
        <v>7.7341003515500162E-2</v>
      </c>
      <c r="R50" s="87">
        <v>22</v>
      </c>
      <c r="S50" s="87">
        <v>23</v>
      </c>
      <c r="T50" s="87" t="s">
        <v>270</v>
      </c>
      <c r="U50" s="87" t="s">
        <v>285</v>
      </c>
      <c r="V50" t="s">
        <v>258</v>
      </c>
      <c r="W50">
        <v>703</v>
      </c>
      <c r="X50">
        <v>137</v>
      </c>
      <c r="Y50">
        <v>110</v>
      </c>
      <c r="Z50">
        <v>20</v>
      </c>
      <c r="AA50">
        <v>0</v>
      </c>
      <c r="AB50">
        <v>0</v>
      </c>
      <c r="AC50">
        <v>970</v>
      </c>
      <c r="AD50" s="92">
        <v>7.3099719247166475E-2</v>
      </c>
      <c r="AE50" s="92">
        <v>4.7257675060365642E-2</v>
      </c>
      <c r="AF50" s="92">
        <v>1.1438078402828325E-2</v>
      </c>
      <c r="AG50" s="92">
        <v>6.8989306657468094E-3</v>
      </c>
      <c r="AH50" s="92">
        <v>0</v>
      </c>
      <c r="AI50" s="92">
        <v>0</v>
      </c>
      <c r="AJ50" s="92">
        <v>7.7500798977309049E-2</v>
      </c>
      <c r="AK50">
        <v>0</v>
      </c>
      <c r="AL50">
        <v>0</v>
      </c>
      <c r="AM50">
        <v>0</v>
      </c>
      <c r="AN50">
        <v>0</v>
      </c>
      <c r="AO50">
        <v>1</v>
      </c>
      <c r="AP50">
        <v>1</v>
      </c>
      <c r="AQ50">
        <v>3</v>
      </c>
      <c r="AR50">
        <v>3</v>
      </c>
      <c r="AS50">
        <v>4</v>
      </c>
      <c r="AT50">
        <v>4</v>
      </c>
      <c r="AU50">
        <v>6</v>
      </c>
      <c r="AV50">
        <v>6</v>
      </c>
      <c r="AW50">
        <v>8</v>
      </c>
      <c r="AX50">
        <v>8</v>
      </c>
      <c r="AY50">
        <v>9</v>
      </c>
      <c r="AZ50">
        <v>11</v>
      </c>
      <c r="BA50">
        <v>12</v>
      </c>
      <c r="BB50">
        <v>14</v>
      </c>
      <c r="BC50" t="s">
        <v>311</v>
      </c>
      <c r="BD50" t="s">
        <v>311</v>
      </c>
      <c r="BE50" s="92">
        <v>0</v>
      </c>
      <c r="BF50" s="92">
        <v>0</v>
      </c>
      <c r="BG50" s="92">
        <v>0</v>
      </c>
      <c r="BH50" s="92">
        <v>0</v>
      </c>
      <c r="BI50" s="92">
        <v>1.0398253093480295E-4</v>
      </c>
      <c r="BJ50" s="92">
        <v>3.4494653328734045E-4</v>
      </c>
      <c r="BK50" s="92">
        <v>3.1194759280440883E-4</v>
      </c>
      <c r="BL50" s="92">
        <v>1.0348395998620215E-3</v>
      </c>
      <c r="BM50" s="92">
        <v>4.1593012373921181E-4</v>
      </c>
      <c r="BN50" s="92">
        <v>1.3797861331493618E-3</v>
      </c>
      <c r="BO50" s="92">
        <v>6.2389518560881767E-4</v>
      </c>
      <c r="BP50" s="92">
        <v>2.0696791997240429E-3</v>
      </c>
      <c r="BQ50" s="92">
        <v>8.3186024747842363E-4</v>
      </c>
      <c r="BR50" s="92">
        <v>2.7595722662987236E-3</v>
      </c>
      <c r="BS50" s="92">
        <v>9.3584277841322655E-4</v>
      </c>
      <c r="BT50" s="92">
        <v>3.7944118661607453E-3</v>
      </c>
      <c r="BU50" s="92">
        <v>1.2477903712176353E-3</v>
      </c>
      <c r="BV50" s="92">
        <v>4.8292514660227661E-3</v>
      </c>
      <c r="BW50" s="92" t="s">
        <v>311</v>
      </c>
      <c r="BX50" s="92" t="s">
        <v>311</v>
      </c>
      <c r="BY50" s="92" t="s">
        <v>317</v>
      </c>
    </row>
    <row r="51" spans="1:77" hidden="1" x14ac:dyDescent="0.25">
      <c r="A51" s="86" t="s">
        <v>40</v>
      </c>
      <c r="B51" s="86" t="s">
        <v>311</v>
      </c>
      <c r="C51" s="86" t="s">
        <v>311</v>
      </c>
      <c r="D51" s="86" t="s">
        <v>311</v>
      </c>
      <c r="E51" s="86" t="s">
        <v>311</v>
      </c>
      <c r="F51" s="86">
        <v>45</v>
      </c>
      <c r="G51" s="86">
        <v>0</v>
      </c>
      <c r="H51" s="86">
        <v>45</v>
      </c>
      <c r="I51" s="86">
        <v>4141</v>
      </c>
      <c r="J51" s="86">
        <v>1476</v>
      </c>
      <c r="K51" s="93" t="s">
        <v>311</v>
      </c>
      <c r="L51" s="93" t="s">
        <v>311</v>
      </c>
      <c r="M51" s="93" t="s">
        <v>311</v>
      </c>
      <c r="N51" s="93" t="s">
        <v>311</v>
      </c>
      <c r="O51" s="93">
        <v>1.0866940352571842E-2</v>
      </c>
      <c r="P51" s="93">
        <v>0</v>
      </c>
      <c r="Q51" s="93">
        <v>8.0113939825529647E-3</v>
      </c>
      <c r="R51" s="86">
        <v>34</v>
      </c>
      <c r="S51" s="86">
        <v>34</v>
      </c>
      <c r="T51" s="86" t="s">
        <v>270</v>
      </c>
      <c r="U51" s="86" t="s">
        <v>288</v>
      </c>
      <c r="V51" t="s">
        <v>258</v>
      </c>
      <c r="W51">
        <v>8</v>
      </c>
      <c r="X51">
        <v>1</v>
      </c>
      <c r="Y51">
        <v>19</v>
      </c>
      <c r="Z51">
        <v>95</v>
      </c>
      <c r="AA51">
        <v>0</v>
      </c>
      <c r="AB51">
        <v>0</v>
      </c>
      <c r="AC51">
        <v>123</v>
      </c>
      <c r="AD51" s="92">
        <v>1.9319005071238831E-3</v>
      </c>
      <c r="AE51" s="92">
        <v>6.7750677506775068E-4</v>
      </c>
      <c r="AF51" s="92">
        <v>4.5882637044192221E-3</v>
      </c>
      <c r="AG51" s="92">
        <v>6.4363143631436318E-2</v>
      </c>
      <c r="AH51" s="92">
        <v>0</v>
      </c>
      <c r="AI51" s="92">
        <v>0</v>
      </c>
      <c r="AJ51" s="92">
        <v>2.1897810218978103E-2</v>
      </c>
      <c r="AK51">
        <v>0</v>
      </c>
      <c r="AL51">
        <v>0</v>
      </c>
      <c r="AM51">
        <v>0</v>
      </c>
      <c r="AN51">
        <v>0</v>
      </c>
      <c r="AO51">
        <v>0</v>
      </c>
      <c r="AP51">
        <v>0</v>
      </c>
      <c r="AQ51">
        <v>0</v>
      </c>
      <c r="AR51">
        <v>0</v>
      </c>
      <c r="AS51">
        <v>0</v>
      </c>
      <c r="AT51">
        <v>0</v>
      </c>
      <c r="AU51">
        <v>0</v>
      </c>
      <c r="AV51">
        <v>0</v>
      </c>
      <c r="AW51">
        <v>0</v>
      </c>
      <c r="AX51">
        <v>0</v>
      </c>
      <c r="AY51">
        <v>0</v>
      </c>
      <c r="AZ51">
        <v>0</v>
      </c>
      <c r="BA51">
        <v>0</v>
      </c>
      <c r="BB51">
        <v>0</v>
      </c>
      <c r="BC51" t="s">
        <v>311</v>
      </c>
      <c r="BD51" t="s">
        <v>311</v>
      </c>
      <c r="BE51" s="92">
        <v>0</v>
      </c>
      <c r="BF51" s="92">
        <v>0</v>
      </c>
      <c r="BG51" s="92">
        <v>0</v>
      </c>
      <c r="BH51" s="92">
        <v>0</v>
      </c>
      <c r="BI51" s="92">
        <v>0</v>
      </c>
      <c r="BJ51" s="92">
        <v>0</v>
      </c>
      <c r="BK51" s="92">
        <v>0</v>
      </c>
      <c r="BL51" s="92">
        <v>0</v>
      </c>
      <c r="BM51" s="92">
        <v>0</v>
      </c>
      <c r="BN51" s="92">
        <v>0</v>
      </c>
      <c r="BO51" s="92">
        <v>0</v>
      </c>
      <c r="BP51" s="92">
        <v>0</v>
      </c>
      <c r="BQ51" s="92">
        <v>0</v>
      </c>
      <c r="BR51" s="92">
        <v>0</v>
      </c>
      <c r="BS51" s="92">
        <v>0</v>
      </c>
      <c r="BT51" s="92">
        <v>0</v>
      </c>
      <c r="BU51" s="92">
        <v>0</v>
      </c>
      <c r="BV51" s="92">
        <v>0</v>
      </c>
      <c r="BW51" s="92" t="s">
        <v>311</v>
      </c>
      <c r="BX51" s="92" t="s">
        <v>311</v>
      </c>
      <c r="BY51" s="92" t="s">
        <v>317</v>
      </c>
    </row>
    <row r="52" spans="1:77" hidden="1" x14ac:dyDescent="0.25">
      <c r="A52" s="87" t="s">
        <v>41</v>
      </c>
      <c r="B52" s="87" t="s">
        <v>311</v>
      </c>
      <c r="C52" s="87" t="s">
        <v>311</v>
      </c>
      <c r="D52" s="87" t="s">
        <v>311</v>
      </c>
      <c r="E52" s="87" t="s">
        <v>311</v>
      </c>
      <c r="F52" s="87">
        <v>0</v>
      </c>
      <c r="G52" s="87">
        <v>0</v>
      </c>
      <c r="H52" s="87">
        <v>0</v>
      </c>
      <c r="I52" s="87">
        <v>12141</v>
      </c>
      <c r="J52" s="87">
        <v>52</v>
      </c>
      <c r="K52" s="92" t="s">
        <v>311</v>
      </c>
      <c r="L52" s="92" t="s">
        <v>311</v>
      </c>
      <c r="M52" s="92" t="s">
        <v>311</v>
      </c>
      <c r="N52" s="92" t="s">
        <v>311</v>
      </c>
      <c r="O52" s="92">
        <v>0</v>
      </c>
      <c r="P52" s="92">
        <v>0</v>
      </c>
      <c r="Q52" s="92">
        <v>0</v>
      </c>
      <c r="R52" s="87">
        <v>46</v>
      </c>
      <c r="S52" s="87">
        <v>46</v>
      </c>
      <c r="T52" s="87" t="s">
        <v>270</v>
      </c>
      <c r="U52" s="87" t="s">
        <v>285</v>
      </c>
      <c r="V52" t="s">
        <v>258</v>
      </c>
      <c r="W52">
        <v>129</v>
      </c>
      <c r="X52">
        <v>2</v>
      </c>
      <c r="Y52">
        <v>194</v>
      </c>
      <c r="Z52">
        <v>1</v>
      </c>
      <c r="AA52">
        <v>1532</v>
      </c>
      <c r="AB52">
        <v>2</v>
      </c>
      <c r="AC52">
        <v>1860</v>
      </c>
      <c r="AD52" s="92">
        <v>1.0625154435384235E-2</v>
      </c>
      <c r="AE52" s="92">
        <v>3.8461538461538464E-2</v>
      </c>
      <c r="AF52" s="92">
        <v>1.597891442220575E-2</v>
      </c>
      <c r="AG52" s="92">
        <v>1.9230769230769232E-2</v>
      </c>
      <c r="AH52" s="92">
        <v>0.12618400461247015</v>
      </c>
      <c r="AI52" s="92">
        <v>3.8461538461538464E-2</v>
      </c>
      <c r="AJ52" s="92">
        <v>0.15254654309849913</v>
      </c>
      <c r="AK52">
        <v>0</v>
      </c>
      <c r="AL52">
        <v>0</v>
      </c>
      <c r="AM52">
        <v>0</v>
      </c>
      <c r="AN52">
        <v>0</v>
      </c>
      <c r="AO52">
        <v>1</v>
      </c>
      <c r="AP52">
        <v>0</v>
      </c>
      <c r="AQ52">
        <v>0</v>
      </c>
      <c r="AR52">
        <v>0</v>
      </c>
      <c r="AS52">
        <v>0</v>
      </c>
      <c r="AT52">
        <v>0</v>
      </c>
      <c r="AU52">
        <v>0</v>
      </c>
      <c r="AV52">
        <v>0</v>
      </c>
      <c r="AW52">
        <v>1662</v>
      </c>
      <c r="AX52">
        <v>2</v>
      </c>
      <c r="AY52">
        <v>0</v>
      </c>
      <c r="AZ52">
        <v>0</v>
      </c>
      <c r="BA52">
        <v>0</v>
      </c>
      <c r="BB52">
        <v>0</v>
      </c>
      <c r="BC52" t="s">
        <v>311</v>
      </c>
      <c r="BD52" t="s">
        <v>311</v>
      </c>
      <c r="BE52" s="92">
        <v>0</v>
      </c>
      <c r="BF52" s="92">
        <v>0</v>
      </c>
      <c r="BG52" s="92">
        <v>0</v>
      </c>
      <c r="BH52" s="92">
        <v>0</v>
      </c>
      <c r="BI52" s="92">
        <v>8.236553825879252E-5</v>
      </c>
      <c r="BJ52" s="92">
        <v>0</v>
      </c>
      <c r="BK52" s="92">
        <v>0</v>
      </c>
      <c r="BL52" s="92">
        <v>0</v>
      </c>
      <c r="BM52" s="92">
        <v>0</v>
      </c>
      <c r="BN52" s="92">
        <v>0</v>
      </c>
      <c r="BO52" s="92">
        <v>0</v>
      </c>
      <c r="BP52" s="92">
        <v>0</v>
      </c>
      <c r="BQ52" s="92">
        <v>0.13689152458611317</v>
      </c>
      <c r="BR52" s="92">
        <v>3.8461538461538464E-2</v>
      </c>
      <c r="BS52" s="92">
        <v>0</v>
      </c>
      <c r="BT52" s="92">
        <v>0</v>
      </c>
      <c r="BU52" s="92">
        <v>0</v>
      </c>
      <c r="BV52" s="92">
        <v>0</v>
      </c>
      <c r="BW52" s="92" t="s">
        <v>311</v>
      </c>
      <c r="BX52" s="92" t="s">
        <v>311</v>
      </c>
      <c r="BY52" s="92" t="s">
        <v>317</v>
      </c>
    </row>
    <row r="53" spans="1:77" hidden="1" x14ac:dyDescent="0.25">
      <c r="A53" s="86" t="s">
        <v>42</v>
      </c>
      <c r="B53" s="86" t="s">
        <v>311</v>
      </c>
      <c r="C53" s="86" t="s">
        <v>311</v>
      </c>
      <c r="D53" s="86" t="s">
        <v>311</v>
      </c>
      <c r="E53" s="86" t="s">
        <v>311</v>
      </c>
      <c r="F53" s="86">
        <v>1715</v>
      </c>
      <c r="G53" s="86">
        <v>1</v>
      </c>
      <c r="H53" s="86">
        <v>1716</v>
      </c>
      <c r="I53" s="86">
        <v>6942</v>
      </c>
      <c r="J53" s="86">
        <v>269</v>
      </c>
      <c r="K53" s="93" t="s">
        <v>311</v>
      </c>
      <c r="L53" s="93" t="s">
        <v>311</v>
      </c>
      <c r="M53" s="93" t="s">
        <v>311</v>
      </c>
      <c r="N53" s="93" t="s">
        <v>311</v>
      </c>
      <c r="O53" s="93">
        <v>0.24704696053010661</v>
      </c>
      <c r="P53" s="93">
        <v>3.7174721189591076E-3</v>
      </c>
      <c r="Q53" s="93">
        <v>0.23796976840937456</v>
      </c>
      <c r="R53" s="86">
        <v>15</v>
      </c>
      <c r="S53" s="86">
        <v>10</v>
      </c>
      <c r="T53" s="86" t="s">
        <v>270</v>
      </c>
      <c r="U53" s="86" t="s">
        <v>285</v>
      </c>
      <c r="V53" t="s">
        <v>258</v>
      </c>
      <c r="W53">
        <v>63</v>
      </c>
      <c r="X53">
        <v>4</v>
      </c>
      <c r="Y53">
        <v>0</v>
      </c>
      <c r="Z53">
        <v>0</v>
      </c>
      <c r="AA53">
        <v>0</v>
      </c>
      <c r="AB53">
        <v>0</v>
      </c>
      <c r="AC53">
        <v>67</v>
      </c>
      <c r="AD53" s="92">
        <v>9.0751944684528962E-3</v>
      </c>
      <c r="AE53" s="92">
        <v>1.4869888475836431E-2</v>
      </c>
      <c r="AF53" s="92">
        <v>0</v>
      </c>
      <c r="AG53" s="92">
        <v>0</v>
      </c>
      <c r="AH53" s="92">
        <v>0</v>
      </c>
      <c r="AI53" s="92">
        <v>0</v>
      </c>
      <c r="AJ53" s="92">
        <v>9.2913604215781442E-3</v>
      </c>
      <c r="AK53">
        <v>0</v>
      </c>
      <c r="AL53">
        <v>0</v>
      </c>
      <c r="AM53">
        <v>0</v>
      </c>
      <c r="AN53">
        <v>0</v>
      </c>
      <c r="AO53">
        <v>0</v>
      </c>
      <c r="AP53">
        <v>0</v>
      </c>
      <c r="AQ53">
        <v>0</v>
      </c>
      <c r="AR53">
        <v>0</v>
      </c>
      <c r="AS53">
        <v>0</v>
      </c>
      <c r="AT53">
        <v>0</v>
      </c>
      <c r="AU53">
        <v>0</v>
      </c>
      <c r="AV53">
        <v>0</v>
      </c>
      <c r="AW53">
        <v>0</v>
      </c>
      <c r="AX53">
        <v>0</v>
      </c>
      <c r="AY53">
        <v>0</v>
      </c>
      <c r="AZ53">
        <v>0</v>
      </c>
      <c r="BA53">
        <v>0</v>
      </c>
      <c r="BB53">
        <v>0</v>
      </c>
      <c r="BC53" t="s">
        <v>311</v>
      </c>
      <c r="BD53" t="s">
        <v>311</v>
      </c>
      <c r="BE53" s="92">
        <v>0</v>
      </c>
      <c r="BF53" s="92">
        <v>0</v>
      </c>
      <c r="BG53" s="92">
        <v>0</v>
      </c>
      <c r="BH53" s="92">
        <v>0</v>
      </c>
      <c r="BI53" s="92">
        <v>0</v>
      </c>
      <c r="BJ53" s="92">
        <v>0</v>
      </c>
      <c r="BK53" s="92">
        <v>0</v>
      </c>
      <c r="BL53" s="92">
        <v>0</v>
      </c>
      <c r="BM53" s="92">
        <v>0</v>
      </c>
      <c r="BN53" s="92">
        <v>0</v>
      </c>
      <c r="BO53" s="92">
        <v>0</v>
      </c>
      <c r="BP53" s="92">
        <v>0</v>
      </c>
      <c r="BQ53" s="92">
        <v>0</v>
      </c>
      <c r="BR53" s="92">
        <v>0</v>
      </c>
      <c r="BS53" s="92">
        <v>0</v>
      </c>
      <c r="BT53" s="92">
        <v>0</v>
      </c>
      <c r="BU53" s="92">
        <v>0</v>
      </c>
      <c r="BV53" s="92">
        <v>0</v>
      </c>
      <c r="BW53" s="92" t="s">
        <v>311</v>
      </c>
      <c r="BX53" s="92" t="s">
        <v>311</v>
      </c>
      <c r="BY53" s="92" t="s">
        <v>317</v>
      </c>
    </row>
    <row r="54" spans="1:77" hidden="1" x14ac:dyDescent="0.25">
      <c r="A54" s="87" t="s">
        <v>43</v>
      </c>
      <c r="B54" s="87" t="s">
        <v>311</v>
      </c>
      <c r="C54" s="87" t="s">
        <v>311</v>
      </c>
      <c r="D54" s="87" t="s">
        <v>311</v>
      </c>
      <c r="E54" s="87" t="s">
        <v>311</v>
      </c>
      <c r="F54" s="87">
        <v>41</v>
      </c>
      <c r="G54" s="87">
        <v>0</v>
      </c>
      <c r="H54" s="87">
        <v>41</v>
      </c>
      <c r="I54" s="87">
        <v>5296</v>
      </c>
      <c r="J54" s="87">
        <v>844</v>
      </c>
      <c r="K54" s="92" t="s">
        <v>311</v>
      </c>
      <c r="L54" s="92" t="s">
        <v>311</v>
      </c>
      <c r="M54" s="92" t="s">
        <v>311</v>
      </c>
      <c r="N54" s="92" t="s">
        <v>311</v>
      </c>
      <c r="O54" s="92">
        <v>7.7416918429003018E-3</v>
      </c>
      <c r="P54" s="92">
        <v>0</v>
      </c>
      <c r="Q54" s="92">
        <v>6.6775244299674269E-3</v>
      </c>
      <c r="R54" s="87">
        <v>35</v>
      </c>
      <c r="S54" s="87">
        <v>35</v>
      </c>
      <c r="T54" s="87" t="s">
        <v>270</v>
      </c>
      <c r="U54" s="87" t="s">
        <v>285</v>
      </c>
      <c r="V54" t="s">
        <v>258</v>
      </c>
      <c r="W54">
        <v>2</v>
      </c>
      <c r="X54">
        <v>0</v>
      </c>
      <c r="Y54">
        <v>2</v>
      </c>
      <c r="Z54">
        <v>0</v>
      </c>
      <c r="AA54">
        <v>0</v>
      </c>
      <c r="AB54">
        <v>0</v>
      </c>
      <c r="AC54">
        <v>4</v>
      </c>
      <c r="AD54" s="92">
        <v>3.7764350453172205E-4</v>
      </c>
      <c r="AE54" s="92">
        <v>0</v>
      </c>
      <c r="AF54" s="92">
        <v>3.7764350453172205E-4</v>
      </c>
      <c r="AG54" s="92">
        <v>0</v>
      </c>
      <c r="AH54" s="92">
        <v>0</v>
      </c>
      <c r="AI54" s="92">
        <v>0</v>
      </c>
      <c r="AJ54" s="92">
        <v>6.5146579804560263E-4</v>
      </c>
      <c r="AK54">
        <v>0</v>
      </c>
      <c r="AL54">
        <v>0</v>
      </c>
      <c r="AM54">
        <v>0</v>
      </c>
      <c r="AN54">
        <v>0</v>
      </c>
      <c r="AO54">
        <v>0</v>
      </c>
      <c r="AP54">
        <v>0</v>
      </c>
      <c r="AQ54">
        <v>0</v>
      </c>
      <c r="AR54">
        <v>0</v>
      </c>
      <c r="AS54">
        <v>6</v>
      </c>
      <c r="AT54">
        <v>0</v>
      </c>
      <c r="AU54">
        <v>24</v>
      </c>
      <c r="AV54">
        <v>0</v>
      </c>
      <c r="AW54">
        <v>33</v>
      </c>
      <c r="AX54">
        <v>0</v>
      </c>
      <c r="AY54">
        <v>45</v>
      </c>
      <c r="AZ54">
        <v>0</v>
      </c>
      <c r="BA54">
        <v>62</v>
      </c>
      <c r="BB54">
        <v>0</v>
      </c>
      <c r="BC54" t="s">
        <v>311</v>
      </c>
      <c r="BD54" t="s">
        <v>311</v>
      </c>
      <c r="BE54" s="92">
        <v>0</v>
      </c>
      <c r="BF54" s="92">
        <v>0</v>
      </c>
      <c r="BG54" s="92">
        <v>0</v>
      </c>
      <c r="BH54" s="92">
        <v>0</v>
      </c>
      <c r="BI54" s="92">
        <v>0</v>
      </c>
      <c r="BJ54" s="92">
        <v>0</v>
      </c>
      <c r="BK54" s="92">
        <v>0</v>
      </c>
      <c r="BL54" s="92">
        <v>0</v>
      </c>
      <c r="BM54" s="92">
        <v>1.1329305135951663E-3</v>
      </c>
      <c r="BN54" s="92">
        <v>0</v>
      </c>
      <c r="BO54" s="92">
        <v>4.5317220543806651E-3</v>
      </c>
      <c r="BP54" s="92">
        <v>0</v>
      </c>
      <c r="BQ54" s="92">
        <v>6.2311178247734141E-3</v>
      </c>
      <c r="BR54" s="92">
        <v>0</v>
      </c>
      <c r="BS54" s="92">
        <v>8.4969788519637466E-3</v>
      </c>
      <c r="BT54" s="92">
        <v>0</v>
      </c>
      <c r="BU54" s="92">
        <v>1.1706948640483383E-2</v>
      </c>
      <c r="BV54" s="92">
        <v>0</v>
      </c>
      <c r="BW54" s="92" t="s">
        <v>311</v>
      </c>
      <c r="BX54" s="92" t="s">
        <v>311</v>
      </c>
      <c r="BY54" s="92" t="s">
        <v>317</v>
      </c>
    </row>
    <row r="55" spans="1:77" hidden="1" x14ac:dyDescent="0.25">
      <c r="A55" s="86" t="s">
        <v>44</v>
      </c>
      <c r="B55" s="86">
        <v>0</v>
      </c>
      <c r="C55" s="86">
        <v>0</v>
      </c>
      <c r="D55" s="86">
        <v>1</v>
      </c>
      <c r="E55" s="86">
        <v>0</v>
      </c>
      <c r="F55" s="86">
        <v>0</v>
      </c>
      <c r="G55" s="86">
        <v>0</v>
      </c>
      <c r="H55" s="86">
        <v>0</v>
      </c>
      <c r="I55" s="86">
        <v>16444</v>
      </c>
      <c r="J55" s="86">
        <v>1659</v>
      </c>
      <c r="K55" s="93">
        <v>0</v>
      </c>
      <c r="L55" s="93">
        <v>0</v>
      </c>
      <c r="M55" s="93">
        <v>6.0812454390659207E-5</v>
      </c>
      <c r="N55" s="93">
        <v>0</v>
      </c>
      <c r="O55" s="93">
        <v>0</v>
      </c>
      <c r="P55" s="93">
        <v>0</v>
      </c>
      <c r="Q55" s="93">
        <v>0</v>
      </c>
      <c r="R55" s="86">
        <v>46</v>
      </c>
      <c r="S55" s="86">
        <v>46</v>
      </c>
      <c r="T55" s="86" t="s">
        <v>270</v>
      </c>
      <c r="U55" s="86" t="s">
        <v>285</v>
      </c>
      <c r="V55" t="s">
        <v>258</v>
      </c>
      <c r="W55">
        <v>123</v>
      </c>
      <c r="X55">
        <v>68</v>
      </c>
      <c r="Y55">
        <v>130</v>
      </c>
      <c r="Z55">
        <v>102</v>
      </c>
      <c r="AA55">
        <v>0</v>
      </c>
      <c r="AB55">
        <v>0</v>
      </c>
      <c r="AC55">
        <v>423</v>
      </c>
      <c r="AD55" s="92">
        <v>7.4799318900510827E-3</v>
      </c>
      <c r="AE55" s="92">
        <v>4.0988547317661245E-2</v>
      </c>
      <c r="AF55" s="92">
        <v>7.9056190707856976E-3</v>
      </c>
      <c r="AG55" s="92">
        <v>6.148282097649186E-2</v>
      </c>
      <c r="AH55" s="92">
        <v>0</v>
      </c>
      <c r="AI55" s="92">
        <v>0</v>
      </c>
      <c r="AJ55" s="92">
        <v>2.336629287963321E-2</v>
      </c>
      <c r="AK55">
        <v>0</v>
      </c>
      <c r="AL55">
        <v>0</v>
      </c>
      <c r="AM55">
        <v>55</v>
      </c>
      <c r="AN55">
        <v>15</v>
      </c>
      <c r="AO55">
        <v>77</v>
      </c>
      <c r="AP55">
        <v>26</v>
      </c>
      <c r="AQ55">
        <v>96</v>
      </c>
      <c r="AR55">
        <v>31</v>
      </c>
      <c r="AS55">
        <v>145</v>
      </c>
      <c r="AT55">
        <v>59</v>
      </c>
      <c r="AU55">
        <v>189</v>
      </c>
      <c r="AV55">
        <v>90</v>
      </c>
      <c r="AW55">
        <v>217</v>
      </c>
      <c r="AX55">
        <v>147</v>
      </c>
      <c r="AY55">
        <v>281</v>
      </c>
      <c r="AZ55">
        <v>184</v>
      </c>
      <c r="BA55">
        <v>486</v>
      </c>
      <c r="BB55">
        <v>319</v>
      </c>
      <c r="BC55" t="s">
        <v>311</v>
      </c>
      <c r="BD55" t="s">
        <v>311</v>
      </c>
      <c r="BE55" s="92">
        <v>0</v>
      </c>
      <c r="BF55" s="92">
        <v>0</v>
      </c>
      <c r="BG55" s="92">
        <v>3.3446849914862565E-3</v>
      </c>
      <c r="BH55" s="92">
        <v>9.0415913200723331E-3</v>
      </c>
      <c r="BI55" s="92">
        <v>4.6825589880807586E-3</v>
      </c>
      <c r="BJ55" s="92">
        <v>1.567209162145871E-2</v>
      </c>
      <c r="BK55" s="92">
        <v>5.8379956215032841E-3</v>
      </c>
      <c r="BL55" s="92">
        <v>1.8685955394816153E-2</v>
      </c>
      <c r="BM55" s="92">
        <v>8.8178058866455848E-3</v>
      </c>
      <c r="BN55" s="92">
        <v>3.5563592525617839E-2</v>
      </c>
      <c r="BO55" s="92">
        <v>1.1493553879834591E-2</v>
      </c>
      <c r="BP55" s="92">
        <v>5.4249547920433995E-2</v>
      </c>
      <c r="BQ55" s="92">
        <v>1.3196302602773049E-2</v>
      </c>
      <c r="BR55" s="92">
        <v>8.8607594936708861E-2</v>
      </c>
      <c r="BS55" s="92">
        <v>1.7088299683775236E-2</v>
      </c>
      <c r="BT55" s="92">
        <v>0.11091018685955395</v>
      </c>
      <c r="BU55" s="92">
        <v>2.9554852833860376E-2</v>
      </c>
      <c r="BV55" s="92">
        <v>0.19228450874020495</v>
      </c>
      <c r="BW55" s="92" t="s">
        <v>311</v>
      </c>
      <c r="BX55" s="92" t="s">
        <v>311</v>
      </c>
      <c r="BY55" s="92" t="s">
        <v>317</v>
      </c>
    </row>
    <row r="56" spans="1:77" hidden="1" x14ac:dyDescent="0.25">
      <c r="A56" s="87" t="s">
        <v>45</v>
      </c>
      <c r="B56" s="87" t="s">
        <v>311</v>
      </c>
      <c r="C56" s="87" t="s">
        <v>311</v>
      </c>
      <c r="D56" s="87" t="s">
        <v>311</v>
      </c>
      <c r="E56" s="87" t="s">
        <v>311</v>
      </c>
      <c r="F56" s="87">
        <v>0</v>
      </c>
      <c r="G56" s="87">
        <v>0</v>
      </c>
      <c r="H56" s="87">
        <v>0</v>
      </c>
      <c r="I56" s="87">
        <v>8530</v>
      </c>
      <c r="J56" s="87">
        <v>2434</v>
      </c>
      <c r="K56" s="92" t="s">
        <v>311</v>
      </c>
      <c r="L56" s="92" t="s">
        <v>311</v>
      </c>
      <c r="M56" s="92" t="s">
        <v>311</v>
      </c>
      <c r="N56" s="92" t="s">
        <v>311</v>
      </c>
      <c r="O56" s="92">
        <v>0</v>
      </c>
      <c r="P56" s="92">
        <v>0</v>
      </c>
      <c r="Q56" s="92">
        <v>0</v>
      </c>
      <c r="R56" s="87">
        <v>46</v>
      </c>
      <c r="S56" s="87">
        <v>46</v>
      </c>
      <c r="T56" s="87" t="s">
        <v>270</v>
      </c>
      <c r="U56" s="87" t="s">
        <v>285</v>
      </c>
      <c r="V56" t="s">
        <v>258</v>
      </c>
      <c r="W56">
        <v>523</v>
      </c>
      <c r="X56">
        <v>117</v>
      </c>
      <c r="Y56">
        <v>903</v>
      </c>
      <c r="Z56">
        <v>258</v>
      </c>
      <c r="AA56">
        <v>0</v>
      </c>
      <c r="AB56">
        <v>0</v>
      </c>
      <c r="AC56">
        <v>1801</v>
      </c>
      <c r="AD56" s="92">
        <v>6.1313012895662371E-2</v>
      </c>
      <c r="AE56" s="92">
        <v>4.8069022185702547E-2</v>
      </c>
      <c r="AF56" s="92">
        <v>0.10586166471277843</v>
      </c>
      <c r="AG56" s="92">
        <v>0.10599835661462613</v>
      </c>
      <c r="AH56" s="92">
        <v>0</v>
      </c>
      <c r="AI56" s="92">
        <v>0</v>
      </c>
      <c r="AJ56" s="92">
        <v>0.16426486683692082</v>
      </c>
      <c r="AK56">
        <v>0</v>
      </c>
      <c r="AL56">
        <v>0</v>
      </c>
      <c r="AM56">
        <v>0</v>
      </c>
      <c r="AN56">
        <v>0</v>
      </c>
      <c r="AO56">
        <v>0</v>
      </c>
      <c r="AP56">
        <v>0</v>
      </c>
      <c r="AQ56">
        <v>0</v>
      </c>
      <c r="AR56">
        <v>0</v>
      </c>
      <c r="AS56">
        <v>0</v>
      </c>
      <c r="AT56">
        <v>0</v>
      </c>
      <c r="AU56">
        <v>0</v>
      </c>
      <c r="AV56">
        <v>0</v>
      </c>
      <c r="AW56">
        <v>0</v>
      </c>
      <c r="AX56">
        <v>0</v>
      </c>
      <c r="AY56">
        <v>0</v>
      </c>
      <c r="AZ56">
        <v>0</v>
      </c>
      <c r="BA56">
        <v>0</v>
      </c>
      <c r="BB56">
        <v>0</v>
      </c>
      <c r="BC56" t="s">
        <v>311</v>
      </c>
      <c r="BD56" t="s">
        <v>311</v>
      </c>
      <c r="BE56" s="92">
        <v>0</v>
      </c>
      <c r="BF56" s="92">
        <v>0</v>
      </c>
      <c r="BG56" s="92">
        <v>0</v>
      </c>
      <c r="BH56" s="92">
        <v>0</v>
      </c>
      <c r="BI56" s="92">
        <v>0</v>
      </c>
      <c r="BJ56" s="92">
        <v>0</v>
      </c>
      <c r="BK56" s="92">
        <v>0</v>
      </c>
      <c r="BL56" s="92">
        <v>0</v>
      </c>
      <c r="BM56" s="92">
        <v>0</v>
      </c>
      <c r="BN56" s="92">
        <v>0</v>
      </c>
      <c r="BO56" s="92">
        <v>0</v>
      </c>
      <c r="BP56" s="92">
        <v>0</v>
      </c>
      <c r="BQ56" s="92">
        <v>0</v>
      </c>
      <c r="BR56" s="92">
        <v>0</v>
      </c>
      <c r="BS56" s="92">
        <v>0</v>
      </c>
      <c r="BT56" s="92">
        <v>0</v>
      </c>
      <c r="BU56" s="92">
        <v>0</v>
      </c>
      <c r="BV56" s="92">
        <v>0</v>
      </c>
      <c r="BW56" s="92" t="s">
        <v>311</v>
      </c>
      <c r="BX56" s="92" t="s">
        <v>311</v>
      </c>
      <c r="BY56" s="92" t="s">
        <v>317</v>
      </c>
    </row>
    <row r="57" spans="1:77" hidden="1" x14ac:dyDescent="0.25">
      <c r="A57" s="86" t="s">
        <v>46</v>
      </c>
      <c r="B57" s="86" t="s">
        <v>311</v>
      </c>
      <c r="C57" s="86" t="s">
        <v>311</v>
      </c>
      <c r="D57" s="86" t="s">
        <v>311</v>
      </c>
      <c r="E57" s="86" t="s">
        <v>311</v>
      </c>
      <c r="F57" s="86">
        <v>475</v>
      </c>
      <c r="G57" s="86">
        <v>70</v>
      </c>
      <c r="H57" s="86">
        <v>545</v>
      </c>
      <c r="I57" s="86">
        <v>22604</v>
      </c>
      <c r="J57" s="86">
        <v>6307</v>
      </c>
      <c r="K57" s="93" t="s">
        <v>311</v>
      </c>
      <c r="L57" s="93" t="s">
        <v>311</v>
      </c>
      <c r="M57" s="93" t="s">
        <v>311</v>
      </c>
      <c r="N57" s="93" t="s">
        <v>311</v>
      </c>
      <c r="O57" s="93">
        <v>2.1013979826579366E-2</v>
      </c>
      <c r="P57" s="93">
        <v>1.1098779134295227E-2</v>
      </c>
      <c r="Q57" s="93">
        <v>1.8850956383383487E-2</v>
      </c>
      <c r="R57" s="86">
        <v>25</v>
      </c>
      <c r="S57" s="86">
        <v>31</v>
      </c>
      <c r="T57" s="86" t="s">
        <v>270</v>
      </c>
      <c r="U57" s="86" t="s">
        <v>285</v>
      </c>
      <c r="V57" t="s">
        <v>258</v>
      </c>
      <c r="W57">
        <v>108</v>
      </c>
      <c r="X57">
        <v>19</v>
      </c>
      <c r="Y57">
        <v>602</v>
      </c>
      <c r="Z57">
        <v>120</v>
      </c>
      <c r="AA57">
        <v>0</v>
      </c>
      <c r="AB57">
        <v>0</v>
      </c>
      <c r="AC57">
        <v>849</v>
      </c>
      <c r="AD57" s="92">
        <v>4.7779154132012031E-3</v>
      </c>
      <c r="AE57" s="92">
        <v>3.0125257650229905E-3</v>
      </c>
      <c r="AF57" s="92">
        <v>2.6632454432843743E-2</v>
      </c>
      <c r="AG57" s="92">
        <v>1.9026478515934676E-2</v>
      </c>
      <c r="AH57" s="92">
        <v>0</v>
      </c>
      <c r="AI57" s="92">
        <v>0</v>
      </c>
      <c r="AJ57" s="92">
        <v>2.9365985265124E-2</v>
      </c>
      <c r="AK57">
        <v>90</v>
      </c>
      <c r="AL57">
        <v>9</v>
      </c>
      <c r="AM57">
        <v>91</v>
      </c>
      <c r="AN57">
        <v>9</v>
      </c>
      <c r="AO57">
        <v>91</v>
      </c>
      <c r="AP57">
        <v>14</v>
      </c>
      <c r="AQ57">
        <v>132</v>
      </c>
      <c r="AR57">
        <v>31</v>
      </c>
      <c r="AS57">
        <v>200</v>
      </c>
      <c r="AT57">
        <v>40</v>
      </c>
      <c r="AU57">
        <v>294</v>
      </c>
      <c r="AV57">
        <v>73</v>
      </c>
      <c r="AW57">
        <v>376</v>
      </c>
      <c r="AX57">
        <v>185</v>
      </c>
      <c r="AY57">
        <v>527</v>
      </c>
      <c r="AZ57">
        <v>928</v>
      </c>
      <c r="BA57">
        <v>730</v>
      </c>
      <c r="BB57">
        <v>1430</v>
      </c>
      <c r="BC57" t="s">
        <v>311</v>
      </c>
      <c r="BD57" t="s">
        <v>311</v>
      </c>
      <c r="BE57" s="92">
        <v>3.9815961776676692E-3</v>
      </c>
      <c r="BF57" s="92">
        <v>1.4269858886951008E-3</v>
      </c>
      <c r="BG57" s="92">
        <v>4.0258361351973105E-3</v>
      </c>
      <c r="BH57" s="92">
        <v>1.4269858886951008E-3</v>
      </c>
      <c r="BI57" s="92">
        <v>4.0258361351973105E-3</v>
      </c>
      <c r="BJ57" s="92">
        <v>2.2197558268590455E-3</v>
      </c>
      <c r="BK57" s="92">
        <v>5.8396743939125818E-3</v>
      </c>
      <c r="BL57" s="92">
        <v>4.9151736166164577E-3</v>
      </c>
      <c r="BM57" s="92">
        <v>8.8479915059281548E-3</v>
      </c>
      <c r="BN57" s="92">
        <v>6.3421595053115582E-3</v>
      </c>
      <c r="BO57" s="92">
        <v>1.3006547513714387E-2</v>
      </c>
      <c r="BP57" s="92">
        <v>1.1574441097193595E-2</v>
      </c>
      <c r="BQ57" s="92">
        <v>1.663422403114493E-2</v>
      </c>
      <c r="BR57" s="92">
        <v>2.9332487712065959E-2</v>
      </c>
      <c r="BS57" s="92">
        <v>2.3314457618120687E-2</v>
      </c>
      <c r="BT57" s="92">
        <v>0.14713810052322815</v>
      </c>
      <c r="BU57" s="92">
        <v>3.2295168996637764E-2</v>
      </c>
      <c r="BV57" s="92">
        <v>0.22673220231488822</v>
      </c>
      <c r="BW57" s="92" t="s">
        <v>311</v>
      </c>
      <c r="BX57" s="92" t="s">
        <v>311</v>
      </c>
      <c r="BY57" s="92" t="s">
        <v>317</v>
      </c>
    </row>
    <row r="58" spans="1:77" hidden="1" x14ac:dyDescent="0.25">
      <c r="A58" s="87" t="s">
        <v>47</v>
      </c>
      <c r="B58" s="87" t="s">
        <v>311</v>
      </c>
      <c r="C58" s="87" t="s">
        <v>311</v>
      </c>
      <c r="D58" s="87" t="s">
        <v>311</v>
      </c>
      <c r="E58" s="87" t="s">
        <v>311</v>
      </c>
      <c r="F58" s="87">
        <v>0</v>
      </c>
      <c r="G58" s="87">
        <v>0</v>
      </c>
      <c r="H58" s="87">
        <v>0</v>
      </c>
      <c r="I58" s="87">
        <v>4370</v>
      </c>
      <c r="J58" s="87">
        <v>1962</v>
      </c>
      <c r="K58" s="92" t="s">
        <v>311</v>
      </c>
      <c r="L58" s="92" t="s">
        <v>311</v>
      </c>
      <c r="M58" s="92" t="s">
        <v>311</v>
      </c>
      <c r="N58" s="92" t="s">
        <v>311</v>
      </c>
      <c r="O58" s="92">
        <v>0</v>
      </c>
      <c r="P58" s="92">
        <v>0</v>
      </c>
      <c r="Q58" s="92">
        <v>0</v>
      </c>
      <c r="R58" s="87">
        <v>46</v>
      </c>
      <c r="S58" s="87">
        <v>46</v>
      </c>
      <c r="T58" s="87" t="s">
        <v>270</v>
      </c>
      <c r="U58" s="87" t="s">
        <v>285</v>
      </c>
      <c r="V58" t="s">
        <v>258</v>
      </c>
      <c r="W58">
        <v>395</v>
      </c>
      <c r="X58">
        <v>191</v>
      </c>
      <c r="Y58">
        <v>334</v>
      </c>
      <c r="Z58">
        <v>278</v>
      </c>
      <c r="AA58">
        <v>0</v>
      </c>
      <c r="AB58">
        <v>0</v>
      </c>
      <c r="AC58">
        <v>1198</v>
      </c>
      <c r="AD58" s="92">
        <v>9.0389016018306637E-2</v>
      </c>
      <c r="AE58" s="92">
        <v>9.7349643221202847E-2</v>
      </c>
      <c r="AF58" s="92">
        <v>7.6430205949656757E-2</v>
      </c>
      <c r="AG58" s="92">
        <v>0.14169215086646278</v>
      </c>
      <c r="AH58" s="92">
        <v>0</v>
      </c>
      <c r="AI58" s="92">
        <v>0</v>
      </c>
      <c r="AJ58" s="92">
        <v>0.18919772583701833</v>
      </c>
      <c r="AK58">
        <v>0</v>
      </c>
      <c r="AL58">
        <v>0</v>
      </c>
      <c r="AM58">
        <v>0</v>
      </c>
      <c r="AN58">
        <v>0</v>
      </c>
      <c r="AO58">
        <v>0</v>
      </c>
      <c r="AP58">
        <v>0</v>
      </c>
      <c r="AQ58">
        <v>0</v>
      </c>
      <c r="AR58">
        <v>0</v>
      </c>
      <c r="AS58">
        <v>0</v>
      </c>
      <c r="AT58">
        <v>0</v>
      </c>
      <c r="AU58">
        <v>0</v>
      </c>
      <c r="AV58">
        <v>0</v>
      </c>
      <c r="AW58">
        <v>0</v>
      </c>
      <c r="AX58">
        <v>0</v>
      </c>
      <c r="AY58">
        <v>0</v>
      </c>
      <c r="AZ58">
        <v>0</v>
      </c>
      <c r="BA58">
        <v>0</v>
      </c>
      <c r="BB58">
        <v>0</v>
      </c>
      <c r="BC58" t="s">
        <v>311</v>
      </c>
      <c r="BD58" t="s">
        <v>311</v>
      </c>
      <c r="BE58" s="92">
        <v>0</v>
      </c>
      <c r="BF58" s="92">
        <v>0</v>
      </c>
      <c r="BG58" s="92">
        <v>0</v>
      </c>
      <c r="BH58" s="92">
        <v>0</v>
      </c>
      <c r="BI58" s="92">
        <v>0</v>
      </c>
      <c r="BJ58" s="92">
        <v>0</v>
      </c>
      <c r="BK58" s="92">
        <v>0</v>
      </c>
      <c r="BL58" s="92">
        <v>0</v>
      </c>
      <c r="BM58" s="92">
        <v>0</v>
      </c>
      <c r="BN58" s="92">
        <v>0</v>
      </c>
      <c r="BO58" s="92">
        <v>0</v>
      </c>
      <c r="BP58" s="92">
        <v>0</v>
      </c>
      <c r="BQ58" s="92">
        <v>0</v>
      </c>
      <c r="BR58" s="92">
        <v>0</v>
      </c>
      <c r="BS58" s="92">
        <v>0</v>
      </c>
      <c r="BT58" s="92">
        <v>0</v>
      </c>
      <c r="BU58" s="92">
        <v>0</v>
      </c>
      <c r="BV58" s="92">
        <v>0</v>
      </c>
      <c r="BW58" s="92" t="s">
        <v>311</v>
      </c>
      <c r="BX58" s="92" t="s">
        <v>311</v>
      </c>
      <c r="BY58" s="92" t="s">
        <v>317</v>
      </c>
    </row>
    <row r="59" spans="1:77" hidden="1" x14ac:dyDescent="0.25">
      <c r="A59" s="86" t="s">
        <v>48</v>
      </c>
      <c r="B59" s="86">
        <v>3895</v>
      </c>
      <c r="C59" s="86">
        <v>712</v>
      </c>
      <c r="D59" s="86">
        <v>3</v>
      </c>
      <c r="E59" s="86">
        <v>0</v>
      </c>
      <c r="F59" s="86">
        <v>0</v>
      </c>
      <c r="G59" s="86">
        <v>0</v>
      </c>
      <c r="H59" s="86">
        <v>0</v>
      </c>
      <c r="I59" s="86">
        <v>18045</v>
      </c>
      <c r="J59" s="86">
        <v>5643</v>
      </c>
      <c r="K59" s="93">
        <v>0.21584926572457744</v>
      </c>
      <c r="L59" s="93">
        <v>0.12617402091086302</v>
      </c>
      <c r="M59" s="93">
        <v>1.6625103906899418E-4</v>
      </c>
      <c r="N59" s="93">
        <v>0</v>
      </c>
      <c r="O59" s="93">
        <v>0</v>
      </c>
      <c r="P59" s="93">
        <v>0</v>
      </c>
      <c r="Q59" s="93">
        <v>0</v>
      </c>
      <c r="R59" s="86">
        <v>46</v>
      </c>
      <c r="S59" s="86">
        <v>46</v>
      </c>
      <c r="T59" s="86" t="s">
        <v>270</v>
      </c>
      <c r="U59" s="86" t="s">
        <v>285</v>
      </c>
      <c r="V59" t="s">
        <v>258</v>
      </c>
      <c r="W59">
        <v>40</v>
      </c>
      <c r="X59">
        <v>37</v>
      </c>
      <c r="Y59">
        <v>65</v>
      </c>
      <c r="Z59">
        <v>0</v>
      </c>
      <c r="AA59">
        <v>0</v>
      </c>
      <c r="AB59">
        <v>0</v>
      </c>
      <c r="AC59">
        <v>142</v>
      </c>
      <c r="AD59" s="92">
        <v>2.2166805209199226E-3</v>
      </c>
      <c r="AE59" s="92">
        <v>6.5567960304802409E-3</v>
      </c>
      <c r="AF59" s="92">
        <v>3.6021058464948737E-3</v>
      </c>
      <c r="AG59" s="92">
        <v>0</v>
      </c>
      <c r="AH59" s="92">
        <v>0</v>
      </c>
      <c r="AI59" s="92">
        <v>0</v>
      </c>
      <c r="AJ59" s="92">
        <v>5.9945964201283354E-3</v>
      </c>
      <c r="AK59">
        <v>0</v>
      </c>
      <c r="AL59">
        <v>0</v>
      </c>
      <c r="AM59">
        <v>0</v>
      </c>
      <c r="AN59">
        <v>0</v>
      </c>
      <c r="AO59">
        <v>0</v>
      </c>
      <c r="AP59">
        <v>0</v>
      </c>
      <c r="AQ59">
        <v>0</v>
      </c>
      <c r="AR59">
        <v>0</v>
      </c>
      <c r="AS59">
        <v>0</v>
      </c>
      <c r="AT59">
        <v>0</v>
      </c>
      <c r="AU59">
        <v>0</v>
      </c>
      <c r="AV59">
        <v>0</v>
      </c>
      <c r="AW59">
        <v>0</v>
      </c>
      <c r="AX59">
        <v>0</v>
      </c>
      <c r="AY59">
        <v>0</v>
      </c>
      <c r="AZ59">
        <v>0</v>
      </c>
      <c r="BA59">
        <v>0</v>
      </c>
      <c r="BB59">
        <v>0</v>
      </c>
      <c r="BC59" t="s">
        <v>311</v>
      </c>
      <c r="BD59" t="s">
        <v>311</v>
      </c>
      <c r="BE59" s="92">
        <v>0</v>
      </c>
      <c r="BF59" s="92">
        <v>0</v>
      </c>
      <c r="BG59" s="92">
        <v>0</v>
      </c>
      <c r="BH59" s="92">
        <v>0</v>
      </c>
      <c r="BI59" s="92">
        <v>0</v>
      </c>
      <c r="BJ59" s="92">
        <v>0</v>
      </c>
      <c r="BK59" s="92">
        <v>0</v>
      </c>
      <c r="BL59" s="92">
        <v>0</v>
      </c>
      <c r="BM59" s="92">
        <v>0</v>
      </c>
      <c r="BN59" s="92">
        <v>0</v>
      </c>
      <c r="BO59" s="92">
        <v>0</v>
      </c>
      <c r="BP59" s="92">
        <v>0</v>
      </c>
      <c r="BQ59" s="92">
        <v>0</v>
      </c>
      <c r="BR59" s="92">
        <v>0</v>
      </c>
      <c r="BS59" s="92">
        <v>0</v>
      </c>
      <c r="BT59" s="92">
        <v>0</v>
      </c>
      <c r="BU59" s="92">
        <v>0</v>
      </c>
      <c r="BV59" s="92">
        <v>0</v>
      </c>
      <c r="BW59" s="92" t="s">
        <v>311</v>
      </c>
      <c r="BX59" s="92" t="s">
        <v>311</v>
      </c>
      <c r="BY59" s="92" t="s">
        <v>317</v>
      </c>
    </row>
    <row r="60" spans="1:77" hidden="1" x14ac:dyDescent="0.25">
      <c r="A60" s="87" t="s">
        <v>49</v>
      </c>
      <c r="B60" s="87">
        <v>1758</v>
      </c>
      <c r="C60" s="87">
        <v>172</v>
      </c>
      <c r="D60" s="87">
        <v>5399</v>
      </c>
      <c r="E60" s="87">
        <v>230</v>
      </c>
      <c r="F60" s="87">
        <v>5293</v>
      </c>
      <c r="G60" s="87">
        <v>126</v>
      </c>
      <c r="H60" s="87">
        <v>5419</v>
      </c>
      <c r="I60" s="87">
        <v>50025</v>
      </c>
      <c r="J60" s="87">
        <v>4886</v>
      </c>
      <c r="K60" s="92">
        <v>3.5142428785607194E-2</v>
      </c>
      <c r="L60" s="92">
        <v>3.5202619729840359E-2</v>
      </c>
      <c r="M60" s="92">
        <v>0.10792603698150925</v>
      </c>
      <c r="N60" s="92">
        <v>4.7073270568972578E-2</v>
      </c>
      <c r="O60" s="92">
        <v>0.10580709645177411</v>
      </c>
      <c r="P60" s="92">
        <v>2.5787965616045846E-2</v>
      </c>
      <c r="Q60" s="92">
        <v>9.8686966181639385E-2</v>
      </c>
      <c r="R60" s="87">
        <v>2</v>
      </c>
      <c r="S60" s="87">
        <v>19</v>
      </c>
      <c r="T60" s="87" t="s">
        <v>270</v>
      </c>
      <c r="U60" s="87" t="s">
        <v>285</v>
      </c>
      <c r="V60" t="s">
        <v>258</v>
      </c>
      <c r="W60">
        <v>2371</v>
      </c>
      <c r="X60">
        <v>253</v>
      </c>
      <c r="Y60">
        <v>3873</v>
      </c>
      <c r="Z60">
        <v>347</v>
      </c>
      <c r="AA60">
        <v>1504</v>
      </c>
      <c r="AB60">
        <v>62</v>
      </c>
      <c r="AC60">
        <v>8410</v>
      </c>
      <c r="AD60" s="92">
        <v>4.7396301849075465E-2</v>
      </c>
      <c r="AE60" s="92">
        <v>5.1780597625869833E-2</v>
      </c>
      <c r="AF60" s="92">
        <v>7.7421289355322345E-2</v>
      </c>
      <c r="AG60" s="92">
        <v>7.1019238641015142E-2</v>
      </c>
      <c r="AH60" s="92">
        <v>3.0064967516241881E-2</v>
      </c>
      <c r="AI60" s="92">
        <v>1.2689316414244782E-2</v>
      </c>
      <c r="AJ60" s="92">
        <v>0.15315692666314581</v>
      </c>
      <c r="AK60">
        <v>0</v>
      </c>
      <c r="AL60">
        <v>0</v>
      </c>
      <c r="AM60">
        <v>6</v>
      </c>
      <c r="AN60">
        <v>0</v>
      </c>
      <c r="AO60">
        <v>8</v>
      </c>
      <c r="AP60">
        <v>0</v>
      </c>
      <c r="AQ60">
        <v>5</v>
      </c>
      <c r="AR60">
        <v>0</v>
      </c>
      <c r="AS60">
        <v>78</v>
      </c>
      <c r="AT60">
        <v>18</v>
      </c>
      <c r="AU60">
        <v>93</v>
      </c>
      <c r="AV60">
        <v>23</v>
      </c>
      <c r="AW60">
        <v>4000</v>
      </c>
      <c r="AX60">
        <v>417</v>
      </c>
      <c r="AY60">
        <v>440</v>
      </c>
      <c r="AZ60">
        <v>51</v>
      </c>
      <c r="BA60">
        <v>614</v>
      </c>
      <c r="BB60">
        <v>64</v>
      </c>
      <c r="BC60" t="s">
        <v>311</v>
      </c>
      <c r="BD60" t="s">
        <v>311</v>
      </c>
      <c r="BE60" s="92">
        <v>0</v>
      </c>
      <c r="BF60" s="92">
        <v>0</v>
      </c>
      <c r="BG60" s="92">
        <v>1.199400299850075E-4</v>
      </c>
      <c r="BH60" s="92">
        <v>0</v>
      </c>
      <c r="BI60" s="92">
        <v>1.5992003998001E-4</v>
      </c>
      <c r="BJ60" s="92">
        <v>0</v>
      </c>
      <c r="BK60" s="92">
        <v>9.9950024987506249E-5</v>
      </c>
      <c r="BL60" s="92">
        <v>0</v>
      </c>
      <c r="BM60" s="92">
        <v>1.5592203898050975E-3</v>
      </c>
      <c r="BN60" s="92">
        <v>3.6839950880065493E-3</v>
      </c>
      <c r="BO60" s="92">
        <v>1.8590704647676161E-3</v>
      </c>
      <c r="BP60" s="92">
        <v>4.7073270568972576E-3</v>
      </c>
      <c r="BQ60" s="92">
        <v>7.9960019990005002E-2</v>
      </c>
      <c r="BR60" s="92">
        <v>8.5345886205485055E-2</v>
      </c>
      <c r="BS60" s="92">
        <v>8.7956021989005501E-3</v>
      </c>
      <c r="BT60" s="92">
        <v>1.0437986082685223E-2</v>
      </c>
      <c r="BU60" s="92">
        <v>1.2273863068465767E-2</v>
      </c>
      <c r="BV60" s="92">
        <v>1.3098649201801064E-2</v>
      </c>
      <c r="BW60" s="92" t="s">
        <v>311</v>
      </c>
      <c r="BX60" s="92" t="s">
        <v>311</v>
      </c>
      <c r="BY60" s="92" t="s">
        <v>317</v>
      </c>
    </row>
    <row r="61" spans="1:77" hidden="1" x14ac:dyDescent="0.25">
      <c r="A61" s="86" t="s">
        <v>50</v>
      </c>
      <c r="B61" s="86" t="s">
        <v>311</v>
      </c>
      <c r="C61" s="86" t="s">
        <v>311</v>
      </c>
      <c r="D61" s="86" t="s">
        <v>311</v>
      </c>
      <c r="E61" s="86" t="s">
        <v>311</v>
      </c>
      <c r="F61" s="86">
        <v>0</v>
      </c>
      <c r="G61" s="86">
        <v>0</v>
      </c>
      <c r="H61" s="86">
        <v>0</v>
      </c>
      <c r="I61" s="86">
        <v>12122</v>
      </c>
      <c r="J61" s="86">
        <v>14591</v>
      </c>
      <c r="K61" s="93" t="s">
        <v>311</v>
      </c>
      <c r="L61" s="93" t="s">
        <v>311</v>
      </c>
      <c r="M61" s="93" t="s">
        <v>311</v>
      </c>
      <c r="N61" s="93" t="s">
        <v>311</v>
      </c>
      <c r="O61" s="93">
        <v>0</v>
      </c>
      <c r="P61" s="93">
        <v>0</v>
      </c>
      <c r="Q61" s="93">
        <v>0</v>
      </c>
      <c r="R61" s="86">
        <v>46</v>
      </c>
      <c r="S61" s="86">
        <v>46</v>
      </c>
      <c r="T61" s="86" t="s">
        <v>270</v>
      </c>
      <c r="U61" s="86" t="s">
        <v>285</v>
      </c>
      <c r="V61" t="s">
        <v>258</v>
      </c>
      <c r="W61">
        <v>212</v>
      </c>
      <c r="X61">
        <v>100</v>
      </c>
      <c r="Y61">
        <v>212</v>
      </c>
      <c r="Z61">
        <v>31</v>
      </c>
      <c r="AA61">
        <v>0</v>
      </c>
      <c r="AB61">
        <v>0</v>
      </c>
      <c r="AC61">
        <v>555</v>
      </c>
      <c r="AD61" s="92">
        <v>1.7488863223890448E-2</v>
      </c>
      <c r="AE61" s="92">
        <v>6.8535398533342475E-3</v>
      </c>
      <c r="AF61" s="92">
        <v>1.7488863223890448E-2</v>
      </c>
      <c r="AG61" s="92">
        <v>2.1245973545336166E-3</v>
      </c>
      <c r="AH61" s="92">
        <v>0</v>
      </c>
      <c r="AI61" s="92">
        <v>0</v>
      </c>
      <c r="AJ61" s="92">
        <v>2.0776401003256843E-2</v>
      </c>
      <c r="AK61">
        <v>0</v>
      </c>
      <c r="AL61">
        <v>0</v>
      </c>
      <c r="AM61">
        <v>0</v>
      </c>
      <c r="AN61">
        <v>0</v>
      </c>
      <c r="AO61">
        <v>0</v>
      </c>
      <c r="AP61">
        <v>0</v>
      </c>
      <c r="AQ61">
        <v>0</v>
      </c>
      <c r="AR61">
        <v>0</v>
      </c>
      <c r="AS61">
        <v>0</v>
      </c>
      <c r="AT61">
        <v>0</v>
      </c>
      <c r="AU61">
        <v>0</v>
      </c>
      <c r="AV61">
        <v>0</v>
      </c>
      <c r="AW61">
        <v>0</v>
      </c>
      <c r="AX61">
        <v>0</v>
      </c>
      <c r="AY61">
        <v>0</v>
      </c>
      <c r="AZ61">
        <v>0</v>
      </c>
      <c r="BA61">
        <v>0</v>
      </c>
      <c r="BB61">
        <v>0</v>
      </c>
      <c r="BC61" t="s">
        <v>311</v>
      </c>
      <c r="BD61" t="s">
        <v>311</v>
      </c>
      <c r="BE61" s="92">
        <v>0</v>
      </c>
      <c r="BF61" s="92">
        <v>0</v>
      </c>
      <c r="BG61" s="92">
        <v>0</v>
      </c>
      <c r="BH61" s="92">
        <v>0</v>
      </c>
      <c r="BI61" s="92">
        <v>0</v>
      </c>
      <c r="BJ61" s="92">
        <v>0</v>
      </c>
      <c r="BK61" s="92">
        <v>0</v>
      </c>
      <c r="BL61" s="92">
        <v>0</v>
      </c>
      <c r="BM61" s="92">
        <v>0</v>
      </c>
      <c r="BN61" s="92">
        <v>0</v>
      </c>
      <c r="BO61" s="92">
        <v>0</v>
      </c>
      <c r="BP61" s="92">
        <v>0</v>
      </c>
      <c r="BQ61" s="92">
        <v>0</v>
      </c>
      <c r="BR61" s="92">
        <v>0</v>
      </c>
      <c r="BS61" s="92">
        <v>0</v>
      </c>
      <c r="BT61" s="92">
        <v>0</v>
      </c>
      <c r="BU61" s="92">
        <v>0</v>
      </c>
      <c r="BV61" s="92">
        <v>0</v>
      </c>
      <c r="BW61" s="92" t="s">
        <v>311</v>
      </c>
      <c r="BX61" s="92" t="s">
        <v>311</v>
      </c>
      <c r="BY61" s="92" t="s">
        <v>317</v>
      </c>
    </row>
    <row r="62" spans="1:77" hidden="1" x14ac:dyDescent="0.25">
      <c r="A62" s="87" t="s">
        <v>52</v>
      </c>
      <c r="B62" s="87" t="s">
        <v>311</v>
      </c>
      <c r="C62" s="87" t="s">
        <v>311</v>
      </c>
      <c r="D62" s="87" t="s">
        <v>311</v>
      </c>
      <c r="E62" s="87" t="s">
        <v>311</v>
      </c>
      <c r="F62" s="87">
        <v>0</v>
      </c>
      <c r="G62" s="87">
        <v>0</v>
      </c>
      <c r="H62" s="87">
        <v>0</v>
      </c>
      <c r="I62" s="87">
        <v>831</v>
      </c>
      <c r="J62" s="87">
        <v>40</v>
      </c>
      <c r="K62" s="92" t="s">
        <v>311</v>
      </c>
      <c r="L62" s="92" t="s">
        <v>311</v>
      </c>
      <c r="M62" s="92" t="s">
        <v>311</v>
      </c>
      <c r="N62" s="92" t="s">
        <v>311</v>
      </c>
      <c r="O62" s="92">
        <v>0</v>
      </c>
      <c r="P62" s="92">
        <v>0</v>
      </c>
      <c r="Q62" s="92">
        <v>0</v>
      </c>
      <c r="R62" s="87">
        <v>46</v>
      </c>
      <c r="S62" s="87">
        <v>46</v>
      </c>
      <c r="T62" s="87" t="s">
        <v>279</v>
      </c>
      <c r="U62" s="87" t="s">
        <v>286</v>
      </c>
      <c r="V62" t="s">
        <v>259</v>
      </c>
      <c r="W62">
        <v>306</v>
      </c>
      <c r="X62">
        <v>26</v>
      </c>
      <c r="Y62">
        <v>11</v>
      </c>
      <c r="Z62">
        <v>1</v>
      </c>
      <c r="AA62">
        <v>0</v>
      </c>
      <c r="AB62">
        <v>0</v>
      </c>
      <c r="AC62">
        <v>344</v>
      </c>
      <c r="AD62" s="92">
        <v>0.36823104693140796</v>
      </c>
      <c r="AE62" s="92">
        <v>0.65</v>
      </c>
      <c r="AF62" s="92">
        <v>1.3237063778580024E-2</v>
      </c>
      <c r="AG62" s="92">
        <v>2.5000000000000001E-2</v>
      </c>
      <c r="AH62" s="92">
        <v>0</v>
      </c>
      <c r="AI62" s="92">
        <v>0</v>
      </c>
      <c r="AJ62" s="92">
        <v>0.3949483352468427</v>
      </c>
      <c r="AK62">
        <v>31</v>
      </c>
      <c r="AL62">
        <v>2</v>
      </c>
      <c r="AM62">
        <v>35</v>
      </c>
      <c r="AN62">
        <v>2</v>
      </c>
      <c r="AO62">
        <v>273</v>
      </c>
      <c r="AP62">
        <v>23</v>
      </c>
      <c r="AQ62">
        <v>301</v>
      </c>
      <c r="AR62">
        <v>23</v>
      </c>
      <c r="AS62">
        <v>308</v>
      </c>
      <c r="AT62">
        <v>24</v>
      </c>
      <c r="AU62">
        <v>316</v>
      </c>
      <c r="AV62">
        <v>25</v>
      </c>
      <c r="AW62">
        <v>326</v>
      </c>
      <c r="AX62">
        <v>25</v>
      </c>
      <c r="AY62">
        <v>338</v>
      </c>
      <c r="AZ62">
        <v>25</v>
      </c>
      <c r="BA62">
        <v>341</v>
      </c>
      <c r="BB62">
        <v>25</v>
      </c>
      <c r="BC62" t="s">
        <v>311</v>
      </c>
      <c r="BD62" t="s">
        <v>311</v>
      </c>
      <c r="BE62" s="92">
        <v>3.7304452466907341E-2</v>
      </c>
      <c r="BF62" s="92">
        <v>0.05</v>
      </c>
      <c r="BG62" s="92">
        <v>4.2117930204572801E-2</v>
      </c>
      <c r="BH62" s="92">
        <v>0.05</v>
      </c>
      <c r="BI62" s="92">
        <v>0.32851985559566788</v>
      </c>
      <c r="BJ62" s="92">
        <v>0.57499999999999996</v>
      </c>
      <c r="BK62" s="92">
        <v>0.36221419975932612</v>
      </c>
      <c r="BL62" s="92">
        <v>0.57499999999999996</v>
      </c>
      <c r="BM62" s="92">
        <v>0.37063778580024065</v>
      </c>
      <c r="BN62" s="92">
        <v>0.6</v>
      </c>
      <c r="BO62" s="92">
        <v>0.38026474127557158</v>
      </c>
      <c r="BP62" s="92">
        <v>0.625</v>
      </c>
      <c r="BQ62" s="92">
        <v>0.39229843561973526</v>
      </c>
      <c r="BR62" s="92">
        <v>0.625</v>
      </c>
      <c r="BS62" s="92">
        <v>0.40673886883273164</v>
      </c>
      <c r="BT62" s="92">
        <v>0.625</v>
      </c>
      <c r="BU62" s="92">
        <v>0.41034897713598073</v>
      </c>
      <c r="BV62" s="92">
        <v>0.625</v>
      </c>
      <c r="BW62" s="92" t="s">
        <v>311</v>
      </c>
      <c r="BX62" s="92" t="s">
        <v>311</v>
      </c>
      <c r="BY62" s="92" t="s">
        <v>317</v>
      </c>
    </row>
    <row r="63" spans="1:77" hidden="1" x14ac:dyDescent="0.25">
      <c r="A63" s="86" t="s">
        <v>53</v>
      </c>
      <c r="B63" s="86" t="s">
        <v>311</v>
      </c>
      <c r="C63" s="86" t="s">
        <v>311</v>
      </c>
      <c r="D63" s="86" t="s">
        <v>311</v>
      </c>
      <c r="E63" s="86" t="s">
        <v>311</v>
      </c>
      <c r="F63" s="86">
        <v>0</v>
      </c>
      <c r="G63" s="86">
        <v>0</v>
      </c>
      <c r="H63" s="86">
        <v>0</v>
      </c>
      <c r="I63" s="86">
        <v>3140</v>
      </c>
      <c r="J63" s="86">
        <v>115</v>
      </c>
      <c r="K63" s="93" t="s">
        <v>311</v>
      </c>
      <c r="L63" s="93" t="s">
        <v>311</v>
      </c>
      <c r="M63" s="93" t="s">
        <v>311</v>
      </c>
      <c r="N63" s="93" t="s">
        <v>311</v>
      </c>
      <c r="O63" s="93">
        <v>0</v>
      </c>
      <c r="P63" s="93">
        <v>0</v>
      </c>
      <c r="Q63" s="93">
        <v>0</v>
      </c>
      <c r="R63" s="86">
        <v>46</v>
      </c>
      <c r="S63" s="86">
        <v>46</v>
      </c>
      <c r="T63" s="86" t="s">
        <v>279</v>
      </c>
      <c r="U63" s="86" t="s">
        <v>288</v>
      </c>
      <c r="V63" t="s">
        <v>259</v>
      </c>
      <c r="W63">
        <v>844</v>
      </c>
      <c r="X63">
        <v>5</v>
      </c>
      <c r="Y63">
        <v>259</v>
      </c>
      <c r="Z63">
        <v>2</v>
      </c>
      <c r="AA63">
        <v>0</v>
      </c>
      <c r="AB63">
        <v>0</v>
      </c>
      <c r="AC63">
        <v>1110</v>
      </c>
      <c r="AD63" s="92">
        <v>0.26878980891719745</v>
      </c>
      <c r="AE63" s="92">
        <v>4.3478260869565216E-2</v>
      </c>
      <c r="AF63" s="92">
        <v>8.2484076433121015E-2</v>
      </c>
      <c r="AG63" s="92">
        <v>1.7391304347826087E-2</v>
      </c>
      <c r="AH63" s="92">
        <v>0</v>
      </c>
      <c r="AI63" s="92">
        <v>0</v>
      </c>
      <c r="AJ63" s="92">
        <v>0.34101382488479265</v>
      </c>
      <c r="AK63">
        <v>294</v>
      </c>
      <c r="AL63">
        <v>3</v>
      </c>
      <c r="AM63">
        <v>538</v>
      </c>
      <c r="AN63">
        <v>5</v>
      </c>
      <c r="AO63">
        <v>690</v>
      </c>
      <c r="AP63">
        <v>5</v>
      </c>
      <c r="AQ63">
        <v>884</v>
      </c>
      <c r="AR63">
        <v>5</v>
      </c>
      <c r="AS63">
        <v>1140</v>
      </c>
      <c r="AT63">
        <v>9</v>
      </c>
      <c r="AU63">
        <v>1189</v>
      </c>
      <c r="AV63">
        <v>10</v>
      </c>
      <c r="AW63">
        <v>1211</v>
      </c>
      <c r="AX63">
        <v>14</v>
      </c>
      <c r="AY63">
        <v>1238</v>
      </c>
      <c r="AZ63">
        <v>16</v>
      </c>
      <c r="BA63">
        <v>1258</v>
      </c>
      <c r="BB63">
        <v>17</v>
      </c>
      <c r="BC63" t="s">
        <v>311</v>
      </c>
      <c r="BD63" t="s">
        <v>311</v>
      </c>
      <c r="BE63" s="92">
        <v>9.3630573248407636E-2</v>
      </c>
      <c r="BF63" s="92">
        <v>2.6086956521739129E-2</v>
      </c>
      <c r="BG63" s="92">
        <v>0.17133757961783438</v>
      </c>
      <c r="BH63" s="92">
        <v>4.3478260869565216E-2</v>
      </c>
      <c r="BI63" s="92">
        <v>0.21974522292993631</v>
      </c>
      <c r="BJ63" s="92">
        <v>4.3478260869565216E-2</v>
      </c>
      <c r="BK63" s="92">
        <v>0.28152866242038216</v>
      </c>
      <c r="BL63" s="92">
        <v>4.3478260869565216E-2</v>
      </c>
      <c r="BM63" s="92">
        <v>0.36305732484076431</v>
      </c>
      <c r="BN63" s="92">
        <v>7.8260869565217397E-2</v>
      </c>
      <c r="BO63" s="92">
        <v>0.37866242038216563</v>
      </c>
      <c r="BP63" s="92">
        <v>8.6956521739130432E-2</v>
      </c>
      <c r="BQ63" s="92">
        <v>0.38566878980891722</v>
      </c>
      <c r="BR63" s="92">
        <v>0.12173913043478261</v>
      </c>
      <c r="BS63" s="92">
        <v>0.3942675159235669</v>
      </c>
      <c r="BT63" s="92">
        <v>0.1391304347826087</v>
      </c>
      <c r="BU63" s="92">
        <v>0.40063694267515926</v>
      </c>
      <c r="BV63" s="92">
        <v>0.14782608695652175</v>
      </c>
      <c r="BW63" s="92" t="s">
        <v>311</v>
      </c>
      <c r="BX63" s="92" t="s">
        <v>311</v>
      </c>
      <c r="BY63" s="92" t="s">
        <v>318</v>
      </c>
    </row>
    <row r="64" spans="1:77" hidden="1" x14ac:dyDescent="0.25">
      <c r="A64" s="87" t="s">
        <v>54</v>
      </c>
      <c r="B64" s="87">
        <v>14</v>
      </c>
      <c r="C64" s="87">
        <v>0</v>
      </c>
      <c r="D64" s="87">
        <v>2</v>
      </c>
      <c r="E64" s="87">
        <v>0</v>
      </c>
      <c r="F64" s="87">
        <v>0</v>
      </c>
      <c r="G64" s="87">
        <v>0</v>
      </c>
      <c r="H64" s="87">
        <v>0</v>
      </c>
      <c r="I64" s="87">
        <v>2309</v>
      </c>
      <c r="J64" s="87">
        <v>311</v>
      </c>
      <c r="K64" s="92">
        <v>6.0632308358596794E-3</v>
      </c>
      <c r="L64" s="92">
        <v>0</v>
      </c>
      <c r="M64" s="92">
        <v>8.661758336942399E-4</v>
      </c>
      <c r="N64" s="92">
        <v>0</v>
      </c>
      <c r="O64" s="92">
        <v>0</v>
      </c>
      <c r="P64" s="92">
        <v>0</v>
      </c>
      <c r="Q64" s="92">
        <v>0</v>
      </c>
      <c r="R64" s="87">
        <v>46</v>
      </c>
      <c r="S64" s="87">
        <v>46</v>
      </c>
      <c r="T64" s="87" t="s">
        <v>279</v>
      </c>
      <c r="U64" s="87" t="s">
        <v>285</v>
      </c>
      <c r="V64" t="s">
        <v>259</v>
      </c>
      <c r="W64">
        <v>128</v>
      </c>
      <c r="X64">
        <v>43</v>
      </c>
      <c r="Y64">
        <v>125</v>
      </c>
      <c r="Z64">
        <v>18</v>
      </c>
      <c r="AA64">
        <v>0</v>
      </c>
      <c r="AB64">
        <v>0</v>
      </c>
      <c r="AC64">
        <v>314</v>
      </c>
      <c r="AD64" s="92">
        <v>5.5435253356431353E-2</v>
      </c>
      <c r="AE64" s="92">
        <v>0.13826366559485531</v>
      </c>
      <c r="AF64" s="92">
        <v>5.4135989605889993E-2</v>
      </c>
      <c r="AG64" s="92">
        <v>5.7877813504823149E-2</v>
      </c>
      <c r="AH64" s="92">
        <v>0</v>
      </c>
      <c r="AI64" s="92">
        <v>0</v>
      </c>
      <c r="AJ64" s="92">
        <v>0.11984732824427481</v>
      </c>
      <c r="AK64">
        <v>0</v>
      </c>
      <c r="AL64">
        <v>0</v>
      </c>
      <c r="AM64">
        <v>0</v>
      </c>
      <c r="AN64">
        <v>0</v>
      </c>
      <c r="AO64">
        <v>0</v>
      </c>
      <c r="AP64">
        <v>0</v>
      </c>
      <c r="AQ64">
        <v>0</v>
      </c>
      <c r="AR64">
        <v>0</v>
      </c>
      <c r="AS64">
        <v>0</v>
      </c>
      <c r="AT64">
        <v>0</v>
      </c>
      <c r="AU64">
        <v>0</v>
      </c>
      <c r="AV64">
        <v>0</v>
      </c>
      <c r="AW64">
        <v>0</v>
      </c>
      <c r="AX64">
        <v>0</v>
      </c>
      <c r="AY64">
        <v>0</v>
      </c>
      <c r="AZ64">
        <v>0</v>
      </c>
      <c r="BA64">
        <v>0</v>
      </c>
      <c r="BB64">
        <v>0</v>
      </c>
      <c r="BC64" t="s">
        <v>311</v>
      </c>
      <c r="BD64" t="s">
        <v>311</v>
      </c>
      <c r="BE64" s="92">
        <v>0</v>
      </c>
      <c r="BF64" s="92">
        <v>0</v>
      </c>
      <c r="BG64" s="92">
        <v>0</v>
      </c>
      <c r="BH64" s="92">
        <v>0</v>
      </c>
      <c r="BI64" s="92">
        <v>0</v>
      </c>
      <c r="BJ64" s="92">
        <v>0</v>
      </c>
      <c r="BK64" s="92">
        <v>0</v>
      </c>
      <c r="BL64" s="92">
        <v>0</v>
      </c>
      <c r="BM64" s="92">
        <v>0</v>
      </c>
      <c r="BN64" s="92">
        <v>0</v>
      </c>
      <c r="BO64" s="92">
        <v>0</v>
      </c>
      <c r="BP64" s="92">
        <v>0</v>
      </c>
      <c r="BQ64" s="92">
        <v>0</v>
      </c>
      <c r="BR64" s="92">
        <v>0</v>
      </c>
      <c r="BS64" s="92">
        <v>0</v>
      </c>
      <c r="BT64" s="92">
        <v>0</v>
      </c>
      <c r="BU64" s="92">
        <v>0</v>
      </c>
      <c r="BV64" s="92">
        <v>0</v>
      </c>
      <c r="BW64" s="92" t="s">
        <v>311</v>
      </c>
      <c r="BX64" s="92" t="s">
        <v>311</v>
      </c>
      <c r="BY64" s="92" t="s">
        <v>317</v>
      </c>
    </row>
    <row r="65" spans="1:77" hidden="1" x14ac:dyDescent="0.25">
      <c r="A65" s="86" t="s">
        <v>55</v>
      </c>
      <c r="B65" s="86" t="s">
        <v>311</v>
      </c>
      <c r="C65" s="86" t="s">
        <v>311</v>
      </c>
      <c r="D65" s="86" t="s">
        <v>311</v>
      </c>
      <c r="E65" s="86" t="s">
        <v>311</v>
      </c>
      <c r="F65" s="86">
        <v>4</v>
      </c>
      <c r="G65" s="86">
        <v>0</v>
      </c>
      <c r="H65" s="86">
        <v>4</v>
      </c>
      <c r="I65" s="86">
        <v>3669</v>
      </c>
      <c r="J65" s="86">
        <v>200</v>
      </c>
      <c r="K65" s="93" t="s">
        <v>311</v>
      </c>
      <c r="L65" s="93" t="s">
        <v>311</v>
      </c>
      <c r="M65" s="93" t="s">
        <v>311</v>
      </c>
      <c r="N65" s="93" t="s">
        <v>311</v>
      </c>
      <c r="O65" s="93">
        <v>1.0902153175252113E-3</v>
      </c>
      <c r="P65" s="93">
        <v>0</v>
      </c>
      <c r="Q65" s="93">
        <v>1.0338588782631171E-3</v>
      </c>
      <c r="R65" s="86">
        <v>40</v>
      </c>
      <c r="S65" s="86">
        <v>38</v>
      </c>
      <c r="T65" s="86" t="s">
        <v>279</v>
      </c>
      <c r="U65" s="86" t="s">
        <v>288</v>
      </c>
      <c r="V65" t="s">
        <v>259</v>
      </c>
      <c r="W65">
        <v>562</v>
      </c>
      <c r="X65">
        <v>15</v>
      </c>
      <c r="Y65">
        <v>1289</v>
      </c>
      <c r="Z65">
        <v>67</v>
      </c>
      <c r="AA65">
        <v>0</v>
      </c>
      <c r="AB65">
        <v>0</v>
      </c>
      <c r="AC65">
        <v>1933</v>
      </c>
      <c r="AD65" s="92">
        <v>0.15317525211229219</v>
      </c>
      <c r="AE65" s="92">
        <v>7.4999999999999997E-2</v>
      </c>
      <c r="AF65" s="92">
        <v>0.35132188607249931</v>
      </c>
      <c r="AG65" s="92">
        <v>0.33500000000000002</v>
      </c>
      <c r="AH65" s="92">
        <v>0</v>
      </c>
      <c r="AI65" s="92">
        <v>0</v>
      </c>
      <c r="AJ65" s="92">
        <v>0.49961230292065134</v>
      </c>
      <c r="AK65">
        <v>115</v>
      </c>
      <c r="AL65">
        <v>4</v>
      </c>
      <c r="AM65">
        <v>268</v>
      </c>
      <c r="AN65">
        <v>6</v>
      </c>
      <c r="AO65">
        <v>373</v>
      </c>
      <c r="AP65">
        <v>10</v>
      </c>
      <c r="AQ65">
        <v>521</v>
      </c>
      <c r="AR65">
        <v>16</v>
      </c>
      <c r="AS65">
        <v>726</v>
      </c>
      <c r="AT65">
        <v>28</v>
      </c>
      <c r="AU65">
        <v>846</v>
      </c>
      <c r="AV65">
        <v>33</v>
      </c>
      <c r="AW65">
        <v>897</v>
      </c>
      <c r="AX65">
        <v>33</v>
      </c>
      <c r="AY65">
        <v>1005</v>
      </c>
      <c r="AZ65">
        <v>34</v>
      </c>
      <c r="BA65">
        <v>1081</v>
      </c>
      <c r="BB65">
        <v>34</v>
      </c>
      <c r="BC65" t="s">
        <v>311</v>
      </c>
      <c r="BD65" t="s">
        <v>311</v>
      </c>
      <c r="BE65" s="92">
        <v>3.134369037884982E-2</v>
      </c>
      <c r="BF65" s="92">
        <v>0.02</v>
      </c>
      <c r="BG65" s="92">
        <v>7.3044426274189153E-2</v>
      </c>
      <c r="BH65" s="92">
        <v>0.03</v>
      </c>
      <c r="BI65" s="92">
        <v>0.10166257835922594</v>
      </c>
      <c r="BJ65" s="92">
        <v>0.05</v>
      </c>
      <c r="BK65" s="92">
        <v>0.14200054510765875</v>
      </c>
      <c r="BL65" s="92">
        <v>0.08</v>
      </c>
      <c r="BM65" s="92">
        <v>0.19787408013082583</v>
      </c>
      <c r="BN65" s="92">
        <v>0.14000000000000001</v>
      </c>
      <c r="BO65" s="92">
        <v>0.23058053965658218</v>
      </c>
      <c r="BP65" s="92">
        <v>0.16500000000000001</v>
      </c>
      <c r="BQ65" s="92">
        <v>0.24448078495502862</v>
      </c>
      <c r="BR65" s="92">
        <v>0.16500000000000001</v>
      </c>
      <c r="BS65" s="92">
        <v>0.27391659852820932</v>
      </c>
      <c r="BT65" s="92">
        <v>0.17</v>
      </c>
      <c r="BU65" s="92">
        <v>0.29463068956118832</v>
      </c>
      <c r="BV65" s="92">
        <v>0.17</v>
      </c>
      <c r="BW65" s="92" t="s">
        <v>311</v>
      </c>
      <c r="BX65" s="92" t="s">
        <v>311</v>
      </c>
      <c r="BY65" s="92" t="s">
        <v>318</v>
      </c>
    </row>
    <row r="66" spans="1:77" hidden="1" x14ac:dyDescent="0.25">
      <c r="A66" s="87" t="s">
        <v>56</v>
      </c>
      <c r="B66" s="87">
        <v>0</v>
      </c>
      <c r="C66" s="87">
        <v>0</v>
      </c>
      <c r="D66" s="87">
        <v>2</v>
      </c>
      <c r="E66" s="87">
        <v>3</v>
      </c>
      <c r="F66" s="87">
        <v>1615</v>
      </c>
      <c r="G66" s="87">
        <v>129</v>
      </c>
      <c r="H66" s="87">
        <v>1744</v>
      </c>
      <c r="I66" s="87">
        <v>4552</v>
      </c>
      <c r="J66" s="87">
        <v>419</v>
      </c>
      <c r="K66" s="92">
        <v>0</v>
      </c>
      <c r="L66" s="92">
        <v>0</v>
      </c>
      <c r="M66" s="92">
        <v>4.3936731107205621E-4</v>
      </c>
      <c r="N66" s="92">
        <v>7.1599045346062056E-3</v>
      </c>
      <c r="O66" s="92">
        <v>0.35478910369068539</v>
      </c>
      <c r="P66" s="92">
        <v>0.30787589498806683</v>
      </c>
      <c r="Q66" s="92">
        <v>0.35083484208408772</v>
      </c>
      <c r="R66" s="87">
        <v>14</v>
      </c>
      <c r="S66" s="87">
        <v>1</v>
      </c>
      <c r="T66" s="87" t="s">
        <v>279</v>
      </c>
      <c r="U66" s="87" t="s">
        <v>285</v>
      </c>
      <c r="V66" t="s">
        <v>259</v>
      </c>
      <c r="W66">
        <v>566</v>
      </c>
      <c r="X66">
        <v>24</v>
      </c>
      <c r="Y66">
        <v>177</v>
      </c>
      <c r="Z66">
        <v>11</v>
      </c>
      <c r="AA66">
        <v>0</v>
      </c>
      <c r="AB66">
        <v>0</v>
      </c>
      <c r="AC66">
        <v>778</v>
      </c>
      <c r="AD66" s="92">
        <v>0.12434094903339192</v>
      </c>
      <c r="AE66" s="92">
        <v>5.7279236276849645E-2</v>
      </c>
      <c r="AF66" s="92">
        <v>3.8884007029876974E-2</v>
      </c>
      <c r="AG66" s="92">
        <v>2.6252983293556086E-2</v>
      </c>
      <c r="AH66" s="92">
        <v>0</v>
      </c>
      <c r="AI66" s="92">
        <v>0</v>
      </c>
      <c r="AJ66" s="92">
        <v>0.15650774492053912</v>
      </c>
      <c r="AK66">
        <v>28</v>
      </c>
      <c r="AL66">
        <v>1</v>
      </c>
      <c r="AM66">
        <v>31</v>
      </c>
      <c r="AN66">
        <v>1</v>
      </c>
      <c r="AO66">
        <v>82</v>
      </c>
      <c r="AP66">
        <v>1</v>
      </c>
      <c r="AQ66">
        <v>178</v>
      </c>
      <c r="AR66">
        <v>2</v>
      </c>
      <c r="AS66">
        <v>361</v>
      </c>
      <c r="AT66">
        <v>2</v>
      </c>
      <c r="AU66">
        <v>488</v>
      </c>
      <c r="AV66">
        <v>4</v>
      </c>
      <c r="AW66">
        <v>544</v>
      </c>
      <c r="AX66">
        <v>6</v>
      </c>
      <c r="AY66">
        <v>629</v>
      </c>
      <c r="AZ66">
        <v>9</v>
      </c>
      <c r="BA66">
        <v>666</v>
      </c>
      <c r="BB66">
        <v>11</v>
      </c>
      <c r="BC66" t="s">
        <v>311</v>
      </c>
      <c r="BD66" t="s">
        <v>311</v>
      </c>
      <c r="BE66" s="92">
        <v>6.1511423550087872E-3</v>
      </c>
      <c r="BF66" s="92">
        <v>2.3866348448687352E-3</v>
      </c>
      <c r="BG66" s="92">
        <v>6.810193321616872E-3</v>
      </c>
      <c r="BH66" s="92">
        <v>2.3866348448687352E-3</v>
      </c>
      <c r="BI66" s="92">
        <v>1.8014059753954304E-2</v>
      </c>
      <c r="BJ66" s="92">
        <v>2.3866348448687352E-3</v>
      </c>
      <c r="BK66" s="92">
        <v>3.9103690685413008E-2</v>
      </c>
      <c r="BL66" s="92">
        <v>4.7732696897374704E-3</v>
      </c>
      <c r="BM66" s="92">
        <v>7.9305799648506148E-2</v>
      </c>
      <c r="BN66" s="92">
        <v>4.7732696897374704E-3</v>
      </c>
      <c r="BO66" s="92">
        <v>0.10720562390158173</v>
      </c>
      <c r="BP66" s="92">
        <v>9.5465393794749408E-3</v>
      </c>
      <c r="BQ66" s="92">
        <v>0.1195079086115993</v>
      </c>
      <c r="BR66" s="92">
        <v>1.4319809069212411E-2</v>
      </c>
      <c r="BS66" s="92">
        <v>0.13818101933216168</v>
      </c>
      <c r="BT66" s="92">
        <v>2.1479713603818614E-2</v>
      </c>
      <c r="BU66" s="92">
        <v>0.14630931458699473</v>
      </c>
      <c r="BV66" s="92">
        <v>2.6252983293556086E-2</v>
      </c>
      <c r="BW66" s="92" t="s">
        <v>311</v>
      </c>
      <c r="BX66" s="92" t="s">
        <v>311</v>
      </c>
      <c r="BY66" s="92" t="s">
        <v>317</v>
      </c>
    </row>
    <row r="67" spans="1:77" hidden="1" x14ac:dyDescent="0.25">
      <c r="A67" s="86" t="s">
        <v>57</v>
      </c>
      <c r="B67" s="86">
        <v>6</v>
      </c>
      <c r="C67" s="86">
        <v>0</v>
      </c>
      <c r="D67" s="86">
        <v>7</v>
      </c>
      <c r="E67" s="86">
        <v>0</v>
      </c>
      <c r="F67" s="86">
        <v>3</v>
      </c>
      <c r="G67" s="86">
        <v>0</v>
      </c>
      <c r="H67" s="86">
        <v>3</v>
      </c>
      <c r="I67" s="86">
        <v>16085</v>
      </c>
      <c r="J67" s="86">
        <v>402</v>
      </c>
      <c r="K67" s="93">
        <v>3.7301834006838667E-4</v>
      </c>
      <c r="L67" s="93">
        <v>0</v>
      </c>
      <c r="M67" s="93">
        <v>4.3518806341311784E-4</v>
      </c>
      <c r="N67" s="93">
        <v>0</v>
      </c>
      <c r="O67" s="93">
        <v>1.8650917003419334E-4</v>
      </c>
      <c r="P67" s="93">
        <v>0</v>
      </c>
      <c r="Q67" s="93">
        <v>1.8196154546005943E-4</v>
      </c>
      <c r="R67" s="86">
        <v>42</v>
      </c>
      <c r="S67" s="86">
        <v>42</v>
      </c>
      <c r="T67" s="86" t="s">
        <v>279</v>
      </c>
      <c r="U67" s="86" t="s">
        <v>288</v>
      </c>
      <c r="V67" t="s">
        <v>259</v>
      </c>
      <c r="W67">
        <v>1482</v>
      </c>
      <c r="X67">
        <v>40</v>
      </c>
      <c r="Y67">
        <v>1107</v>
      </c>
      <c r="Z67">
        <v>85</v>
      </c>
      <c r="AA67">
        <v>565</v>
      </c>
      <c r="AB67">
        <v>0</v>
      </c>
      <c r="AC67">
        <v>3279</v>
      </c>
      <c r="AD67" s="92">
        <v>9.2135529996891508E-2</v>
      </c>
      <c r="AE67" s="92">
        <v>9.950248756218906E-2</v>
      </c>
      <c r="AF67" s="92">
        <v>6.8821883742617343E-2</v>
      </c>
      <c r="AG67" s="92">
        <v>0.21144278606965175</v>
      </c>
      <c r="AH67" s="92">
        <v>3.5125893689773077E-2</v>
      </c>
      <c r="AI67" s="92">
        <v>0</v>
      </c>
      <c r="AJ67" s="92">
        <v>0.19888396918784496</v>
      </c>
      <c r="AK67">
        <v>1</v>
      </c>
      <c r="AL67">
        <v>0</v>
      </c>
      <c r="AM67">
        <v>1</v>
      </c>
      <c r="AN67">
        <v>0</v>
      </c>
      <c r="AO67">
        <v>5</v>
      </c>
      <c r="AP67">
        <v>0</v>
      </c>
      <c r="AQ67">
        <v>29</v>
      </c>
      <c r="AR67">
        <v>0</v>
      </c>
      <c r="AS67">
        <v>882</v>
      </c>
      <c r="AT67">
        <v>17</v>
      </c>
      <c r="AU67">
        <v>1011</v>
      </c>
      <c r="AV67">
        <v>18</v>
      </c>
      <c r="AW67">
        <v>1082</v>
      </c>
      <c r="AX67">
        <v>18</v>
      </c>
      <c r="AY67">
        <v>1325</v>
      </c>
      <c r="AZ67">
        <v>19</v>
      </c>
      <c r="BA67">
        <v>1449</v>
      </c>
      <c r="BB67">
        <v>20</v>
      </c>
      <c r="BC67" t="s">
        <v>311</v>
      </c>
      <c r="BD67" t="s">
        <v>311</v>
      </c>
      <c r="BE67" s="92">
        <v>6.2169723344731112E-5</v>
      </c>
      <c r="BF67" s="92">
        <v>0</v>
      </c>
      <c r="BG67" s="92">
        <v>6.2169723344731112E-5</v>
      </c>
      <c r="BH67" s="92">
        <v>0</v>
      </c>
      <c r="BI67" s="92">
        <v>3.1084861672365556E-4</v>
      </c>
      <c r="BJ67" s="92">
        <v>0</v>
      </c>
      <c r="BK67" s="92">
        <v>1.8029219769972024E-3</v>
      </c>
      <c r="BL67" s="92">
        <v>0</v>
      </c>
      <c r="BM67" s="92">
        <v>5.4833695990052847E-2</v>
      </c>
      <c r="BN67" s="92">
        <v>4.228855721393035E-2</v>
      </c>
      <c r="BO67" s="92">
        <v>6.2853590301523155E-2</v>
      </c>
      <c r="BP67" s="92">
        <v>4.4776119402985072E-2</v>
      </c>
      <c r="BQ67" s="92">
        <v>6.7267640658999067E-2</v>
      </c>
      <c r="BR67" s="92">
        <v>4.4776119402985072E-2</v>
      </c>
      <c r="BS67" s="92">
        <v>8.2374883431768728E-2</v>
      </c>
      <c r="BT67" s="92">
        <v>4.7263681592039801E-2</v>
      </c>
      <c r="BU67" s="92">
        <v>9.0083929126515389E-2</v>
      </c>
      <c r="BV67" s="92">
        <v>4.975124378109453E-2</v>
      </c>
      <c r="BW67" s="92" t="s">
        <v>311</v>
      </c>
      <c r="BX67" s="92" t="s">
        <v>311</v>
      </c>
      <c r="BY67" s="92" t="s">
        <v>318</v>
      </c>
    </row>
    <row r="68" spans="1:77" hidden="1" x14ac:dyDescent="0.25">
      <c r="A68" s="87" t="s">
        <v>58</v>
      </c>
      <c r="B68" s="87">
        <v>0</v>
      </c>
      <c r="C68" s="87">
        <v>0</v>
      </c>
      <c r="D68" s="87">
        <v>2</v>
      </c>
      <c r="E68" s="87">
        <v>0</v>
      </c>
      <c r="F68" s="87">
        <v>0</v>
      </c>
      <c r="G68" s="87">
        <v>0</v>
      </c>
      <c r="H68" s="87">
        <v>0</v>
      </c>
      <c r="I68" s="87">
        <v>793</v>
      </c>
      <c r="J68" s="87">
        <v>19</v>
      </c>
      <c r="K68" s="92">
        <v>0</v>
      </c>
      <c r="L68" s="92">
        <v>0</v>
      </c>
      <c r="M68" s="92">
        <v>2.5220680958385876E-3</v>
      </c>
      <c r="N68" s="92">
        <v>0</v>
      </c>
      <c r="O68" s="92">
        <v>0</v>
      </c>
      <c r="P68" s="92">
        <v>0</v>
      </c>
      <c r="Q68" s="92">
        <v>0</v>
      </c>
      <c r="R68" s="87">
        <v>46</v>
      </c>
      <c r="S68" s="87">
        <v>46</v>
      </c>
      <c r="T68" s="87" t="s">
        <v>279</v>
      </c>
      <c r="U68" s="87" t="s">
        <v>286</v>
      </c>
      <c r="V68" t="s">
        <v>259</v>
      </c>
      <c r="W68">
        <v>175</v>
      </c>
      <c r="X68">
        <v>4</v>
      </c>
      <c r="Y68">
        <v>27</v>
      </c>
      <c r="Z68">
        <v>3</v>
      </c>
      <c r="AA68">
        <v>0</v>
      </c>
      <c r="AB68">
        <v>0</v>
      </c>
      <c r="AC68">
        <v>209</v>
      </c>
      <c r="AD68" s="92">
        <v>0.22068095838587642</v>
      </c>
      <c r="AE68" s="92">
        <v>0.21052631578947367</v>
      </c>
      <c r="AF68" s="92">
        <v>3.4047919293820936E-2</v>
      </c>
      <c r="AG68" s="92">
        <v>0.15789473684210525</v>
      </c>
      <c r="AH68" s="92">
        <v>0</v>
      </c>
      <c r="AI68" s="92">
        <v>0</v>
      </c>
      <c r="AJ68" s="92">
        <v>0.25738916256157635</v>
      </c>
      <c r="AK68">
        <v>0</v>
      </c>
      <c r="AL68">
        <v>0</v>
      </c>
      <c r="AM68">
        <v>0</v>
      </c>
      <c r="AN68">
        <v>0</v>
      </c>
      <c r="AO68">
        <v>0</v>
      </c>
      <c r="AP68">
        <v>0</v>
      </c>
      <c r="AQ68">
        <v>0</v>
      </c>
      <c r="AR68">
        <v>0</v>
      </c>
      <c r="AS68">
        <v>0</v>
      </c>
      <c r="AT68">
        <v>0</v>
      </c>
      <c r="AU68">
        <v>0</v>
      </c>
      <c r="AV68">
        <v>0</v>
      </c>
      <c r="AW68">
        <v>0</v>
      </c>
      <c r="AX68">
        <v>0</v>
      </c>
      <c r="AY68">
        <v>0</v>
      </c>
      <c r="AZ68">
        <v>0</v>
      </c>
      <c r="BA68">
        <v>1</v>
      </c>
      <c r="BB68">
        <v>0</v>
      </c>
      <c r="BC68" t="s">
        <v>311</v>
      </c>
      <c r="BD68" t="s">
        <v>311</v>
      </c>
      <c r="BE68" s="92">
        <v>0</v>
      </c>
      <c r="BF68" s="92">
        <v>0</v>
      </c>
      <c r="BG68" s="92">
        <v>0</v>
      </c>
      <c r="BH68" s="92">
        <v>0</v>
      </c>
      <c r="BI68" s="92">
        <v>0</v>
      </c>
      <c r="BJ68" s="92">
        <v>0</v>
      </c>
      <c r="BK68" s="92">
        <v>0</v>
      </c>
      <c r="BL68" s="92">
        <v>0</v>
      </c>
      <c r="BM68" s="92">
        <v>0</v>
      </c>
      <c r="BN68" s="92">
        <v>0</v>
      </c>
      <c r="BO68" s="92">
        <v>0</v>
      </c>
      <c r="BP68" s="92">
        <v>0</v>
      </c>
      <c r="BQ68" s="92">
        <v>0</v>
      </c>
      <c r="BR68" s="92">
        <v>0</v>
      </c>
      <c r="BS68" s="92">
        <v>0</v>
      </c>
      <c r="BT68" s="92">
        <v>0</v>
      </c>
      <c r="BU68" s="92">
        <v>1.2610340479192938E-3</v>
      </c>
      <c r="BV68" s="92">
        <v>0</v>
      </c>
      <c r="BW68" s="92" t="s">
        <v>311</v>
      </c>
      <c r="BX68" s="92" t="s">
        <v>311</v>
      </c>
      <c r="BY68" s="92" t="s">
        <v>317</v>
      </c>
    </row>
    <row r="69" spans="1:77" hidden="1" x14ac:dyDescent="0.25">
      <c r="A69" s="86" t="s">
        <v>59</v>
      </c>
      <c r="B69" s="86">
        <v>4</v>
      </c>
      <c r="C69" s="86">
        <v>0</v>
      </c>
      <c r="D69" s="86">
        <v>0</v>
      </c>
      <c r="E69" s="86">
        <v>0</v>
      </c>
      <c r="F69" s="86">
        <v>0</v>
      </c>
      <c r="G69" s="86">
        <v>0</v>
      </c>
      <c r="H69" s="86">
        <v>0</v>
      </c>
      <c r="I69" s="86">
        <v>3967</v>
      </c>
      <c r="J69" s="86">
        <v>324</v>
      </c>
      <c r="K69" s="93">
        <v>1.008318628686665E-3</v>
      </c>
      <c r="L69" s="93">
        <v>0</v>
      </c>
      <c r="M69" s="93">
        <v>0</v>
      </c>
      <c r="N69" s="93">
        <v>0</v>
      </c>
      <c r="O69" s="93">
        <v>0</v>
      </c>
      <c r="P69" s="93">
        <v>0</v>
      </c>
      <c r="Q69" s="93">
        <v>0</v>
      </c>
      <c r="R69" s="86">
        <v>46</v>
      </c>
      <c r="S69" s="86">
        <v>46</v>
      </c>
      <c r="T69" s="86" t="s">
        <v>279</v>
      </c>
      <c r="U69" s="86" t="s">
        <v>286</v>
      </c>
      <c r="V69" t="s">
        <v>259</v>
      </c>
      <c r="W69">
        <v>433</v>
      </c>
      <c r="X69">
        <v>93</v>
      </c>
      <c r="Y69">
        <v>248</v>
      </c>
      <c r="Z69">
        <v>37</v>
      </c>
      <c r="AA69">
        <v>0</v>
      </c>
      <c r="AB69">
        <v>0</v>
      </c>
      <c r="AC69">
        <v>811</v>
      </c>
      <c r="AD69" s="92">
        <v>0.10915049155533149</v>
      </c>
      <c r="AE69" s="92">
        <v>0.28703703703703703</v>
      </c>
      <c r="AF69" s="92">
        <v>6.2515754978573229E-2</v>
      </c>
      <c r="AG69" s="92">
        <v>0.11419753086419752</v>
      </c>
      <c r="AH69" s="92">
        <v>0</v>
      </c>
      <c r="AI69" s="92">
        <v>0</v>
      </c>
      <c r="AJ69" s="92">
        <v>0.18900023304591004</v>
      </c>
      <c r="AK69">
        <v>0</v>
      </c>
      <c r="AL69">
        <v>0</v>
      </c>
      <c r="AM69">
        <v>0</v>
      </c>
      <c r="AN69">
        <v>0</v>
      </c>
      <c r="AO69">
        <v>0</v>
      </c>
      <c r="AP69">
        <v>0</v>
      </c>
      <c r="AQ69">
        <v>0</v>
      </c>
      <c r="AR69">
        <v>0</v>
      </c>
      <c r="AS69">
        <v>0</v>
      </c>
      <c r="AT69">
        <v>0</v>
      </c>
      <c r="AU69">
        <v>0</v>
      </c>
      <c r="AV69">
        <v>0</v>
      </c>
      <c r="AW69">
        <v>0</v>
      </c>
      <c r="AX69">
        <v>0</v>
      </c>
      <c r="AY69">
        <v>0</v>
      </c>
      <c r="AZ69">
        <v>0</v>
      </c>
      <c r="BA69">
        <v>0</v>
      </c>
      <c r="BB69">
        <v>0</v>
      </c>
      <c r="BC69" t="s">
        <v>311</v>
      </c>
      <c r="BD69" t="s">
        <v>311</v>
      </c>
      <c r="BE69" s="92">
        <v>0</v>
      </c>
      <c r="BF69" s="92">
        <v>0</v>
      </c>
      <c r="BG69" s="92">
        <v>0</v>
      </c>
      <c r="BH69" s="92">
        <v>0</v>
      </c>
      <c r="BI69" s="92">
        <v>0</v>
      </c>
      <c r="BJ69" s="92">
        <v>0</v>
      </c>
      <c r="BK69" s="92">
        <v>0</v>
      </c>
      <c r="BL69" s="92">
        <v>0</v>
      </c>
      <c r="BM69" s="92">
        <v>0</v>
      </c>
      <c r="BN69" s="92">
        <v>0</v>
      </c>
      <c r="BO69" s="92">
        <v>0</v>
      </c>
      <c r="BP69" s="92">
        <v>0</v>
      </c>
      <c r="BQ69" s="92">
        <v>0</v>
      </c>
      <c r="BR69" s="92">
        <v>0</v>
      </c>
      <c r="BS69" s="92">
        <v>0</v>
      </c>
      <c r="BT69" s="92">
        <v>0</v>
      </c>
      <c r="BU69" s="92">
        <v>0</v>
      </c>
      <c r="BV69" s="92">
        <v>0</v>
      </c>
      <c r="BW69" s="92" t="s">
        <v>311</v>
      </c>
      <c r="BX69" s="92" t="s">
        <v>311</v>
      </c>
      <c r="BY69" s="92" t="s">
        <v>317</v>
      </c>
    </row>
    <row r="70" spans="1:77" hidden="1" x14ac:dyDescent="0.25">
      <c r="A70" s="87" t="s">
        <v>60</v>
      </c>
      <c r="B70" s="87">
        <v>6</v>
      </c>
      <c r="C70" s="87">
        <v>0</v>
      </c>
      <c r="D70" s="87">
        <v>0</v>
      </c>
      <c r="E70" s="87">
        <v>0</v>
      </c>
      <c r="F70" s="87">
        <v>0</v>
      </c>
      <c r="G70" s="87">
        <v>0</v>
      </c>
      <c r="H70" s="87">
        <v>0</v>
      </c>
      <c r="I70" s="87">
        <v>13767</v>
      </c>
      <c r="J70" s="87">
        <v>1148</v>
      </c>
      <c r="K70" s="92">
        <v>4.3582479843103073E-4</v>
      </c>
      <c r="L70" s="92">
        <v>0</v>
      </c>
      <c r="M70" s="92">
        <v>0</v>
      </c>
      <c r="N70" s="92">
        <v>0</v>
      </c>
      <c r="O70" s="92">
        <v>0</v>
      </c>
      <c r="P70" s="92">
        <v>0</v>
      </c>
      <c r="Q70" s="92">
        <v>0</v>
      </c>
      <c r="R70" s="87">
        <v>46</v>
      </c>
      <c r="S70" s="87">
        <v>46</v>
      </c>
      <c r="T70" s="87" t="s">
        <v>279</v>
      </c>
      <c r="U70" s="87" t="s">
        <v>288</v>
      </c>
      <c r="V70" t="s">
        <v>259</v>
      </c>
      <c r="W70">
        <v>2052</v>
      </c>
      <c r="X70">
        <v>199</v>
      </c>
      <c r="Y70">
        <v>2027</v>
      </c>
      <c r="Z70">
        <v>410</v>
      </c>
      <c r="AA70">
        <v>0</v>
      </c>
      <c r="AB70">
        <v>0</v>
      </c>
      <c r="AC70">
        <v>4688</v>
      </c>
      <c r="AD70" s="92">
        <v>0.1490520810634125</v>
      </c>
      <c r="AE70" s="92">
        <v>0.17334494773519163</v>
      </c>
      <c r="AF70" s="92">
        <v>0.14723614440328323</v>
      </c>
      <c r="AG70" s="92">
        <v>0.35714285714285715</v>
      </c>
      <c r="AH70" s="92">
        <v>0</v>
      </c>
      <c r="AI70" s="92">
        <v>0</v>
      </c>
      <c r="AJ70" s="92">
        <v>0.31431444854173651</v>
      </c>
      <c r="AK70">
        <v>504</v>
      </c>
      <c r="AL70">
        <v>92</v>
      </c>
      <c r="AM70">
        <v>925</v>
      </c>
      <c r="AN70">
        <v>110</v>
      </c>
      <c r="AO70">
        <v>1507</v>
      </c>
      <c r="AP70">
        <v>120</v>
      </c>
      <c r="AQ70">
        <v>1909</v>
      </c>
      <c r="AR70">
        <v>150</v>
      </c>
      <c r="AS70">
        <v>2211</v>
      </c>
      <c r="AT70">
        <v>194</v>
      </c>
      <c r="AU70">
        <v>2332</v>
      </c>
      <c r="AV70">
        <v>207</v>
      </c>
      <c r="AW70">
        <v>2408</v>
      </c>
      <c r="AX70">
        <v>218</v>
      </c>
      <c r="AY70">
        <v>2532</v>
      </c>
      <c r="AZ70">
        <v>233</v>
      </c>
      <c r="BA70">
        <v>2671</v>
      </c>
      <c r="BB70">
        <v>245</v>
      </c>
      <c r="BC70" t="s">
        <v>311</v>
      </c>
      <c r="BD70" t="s">
        <v>311</v>
      </c>
      <c r="BE70" s="92">
        <v>3.6609283068206579E-2</v>
      </c>
      <c r="BF70" s="92">
        <v>8.0139372822299645E-2</v>
      </c>
      <c r="BG70" s="92">
        <v>6.7189656424783903E-2</v>
      </c>
      <c r="BH70" s="92">
        <v>9.5818815331010457E-2</v>
      </c>
      <c r="BI70" s="92">
        <v>0.10946466187259389</v>
      </c>
      <c r="BJ70" s="92">
        <v>0.10452961672473868</v>
      </c>
      <c r="BK70" s="92">
        <v>0.13866492336747294</v>
      </c>
      <c r="BL70" s="92">
        <v>0.13066202090592335</v>
      </c>
      <c r="BM70" s="92">
        <v>0.16060143822183481</v>
      </c>
      <c r="BN70" s="92">
        <v>0.16898954703832753</v>
      </c>
      <c r="BO70" s="92">
        <v>0.16939057165686061</v>
      </c>
      <c r="BP70" s="92">
        <v>0.18031358885017421</v>
      </c>
      <c r="BQ70" s="92">
        <v>0.17491101910365367</v>
      </c>
      <c r="BR70" s="92">
        <v>0.18989547038327526</v>
      </c>
      <c r="BS70" s="92">
        <v>0.18391806493789498</v>
      </c>
      <c r="BT70" s="92">
        <v>0.20296167247386759</v>
      </c>
      <c r="BU70" s="92">
        <v>0.19401467276821385</v>
      </c>
      <c r="BV70" s="92">
        <v>0.21341463414634146</v>
      </c>
      <c r="BW70" s="92" t="s">
        <v>311</v>
      </c>
      <c r="BX70" s="92" t="s">
        <v>311</v>
      </c>
      <c r="BY70" s="92" t="s">
        <v>318</v>
      </c>
    </row>
    <row r="71" spans="1:77" hidden="1" x14ac:dyDescent="0.25">
      <c r="A71" s="86" t="s">
        <v>61</v>
      </c>
      <c r="B71" s="86" t="s">
        <v>311</v>
      </c>
      <c r="C71" s="86" t="s">
        <v>311</v>
      </c>
      <c r="D71" s="86" t="s">
        <v>311</v>
      </c>
      <c r="E71" s="86" t="s">
        <v>311</v>
      </c>
      <c r="F71" s="86">
        <v>0</v>
      </c>
      <c r="G71" s="86">
        <v>0</v>
      </c>
      <c r="H71" s="86">
        <v>0</v>
      </c>
      <c r="I71" s="86">
        <v>2168</v>
      </c>
      <c r="J71" s="86">
        <v>644</v>
      </c>
      <c r="K71" s="93" t="s">
        <v>311</v>
      </c>
      <c r="L71" s="93" t="s">
        <v>311</v>
      </c>
      <c r="M71" s="93" t="s">
        <v>311</v>
      </c>
      <c r="N71" s="93" t="s">
        <v>311</v>
      </c>
      <c r="O71" s="93">
        <v>0</v>
      </c>
      <c r="P71" s="93">
        <v>0</v>
      </c>
      <c r="Q71" s="93">
        <v>0</v>
      </c>
      <c r="R71" s="86">
        <v>46</v>
      </c>
      <c r="S71" s="86">
        <v>46</v>
      </c>
      <c r="T71" s="86" t="s">
        <v>279</v>
      </c>
      <c r="U71" s="86" t="s">
        <v>288</v>
      </c>
      <c r="V71" t="s">
        <v>259</v>
      </c>
      <c r="W71">
        <v>45</v>
      </c>
      <c r="X71">
        <v>9</v>
      </c>
      <c r="Y71">
        <v>9</v>
      </c>
      <c r="Z71">
        <v>6</v>
      </c>
      <c r="AA71">
        <v>0</v>
      </c>
      <c r="AB71">
        <v>0</v>
      </c>
      <c r="AC71">
        <v>69</v>
      </c>
      <c r="AD71" s="92">
        <v>2.0756457564575646E-2</v>
      </c>
      <c r="AE71" s="92">
        <v>1.3975155279503106E-2</v>
      </c>
      <c r="AF71" s="92">
        <v>4.1512915129151293E-3</v>
      </c>
      <c r="AG71" s="92">
        <v>9.316770186335404E-3</v>
      </c>
      <c r="AH71" s="92">
        <v>0</v>
      </c>
      <c r="AI71" s="92">
        <v>0</v>
      </c>
      <c r="AJ71" s="92">
        <v>2.4537695590327171E-2</v>
      </c>
      <c r="AK71">
        <v>20</v>
      </c>
      <c r="AL71">
        <v>2</v>
      </c>
      <c r="AM71">
        <v>23</v>
      </c>
      <c r="AN71">
        <v>2</v>
      </c>
      <c r="AO71">
        <v>25</v>
      </c>
      <c r="AP71">
        <v>2</v>
      </c>
      <c r="AQ71">
        <v>28</v>
      </c>
      <c r="AR71">
        <v>4</v>
      </c>
      <c r="AS71">
        <v>34</v>
      </c>
      <c r="AT71">
        <v>12</v>
      </c>
      <c r="AU71">
        <v>41</v>
      </c>
      <c r="AV71">
        <v>14</v>
      </c>
      <c r="AW71">
        <v>50</v>
      </c>
      <c r="AX71">
        <v>15</v>
      </c>
      <c r="AY71">
        <v>57</v>
      </c>
      <c r="AZ71">
        <v>17</v>
      </c>
      <c r="BA71">
        <v>63</v>
      </c>
      <c r="BB71">
        <v>21</v>
      </c>
      <c r="BC71" t="s">
        <v>311</v>
      </c>
      <c r="BD71" t="s">
        <v>311</v>
      </c>
      <c r="BE71" s="92">
        <v>9.2250922509225092E-3</v>
      </c>
      <c r="BF71" s="92">
        <v>3.105590062111801E-3</v>
      </c>
      <c r="BG71" s="92">
        <v>1.0608856088560886E-2</v>
      </c>
      <c r="BH71" s="92">
        <v>3.105590062111801E-3</v>
      </c>
      <c r="BI71" s="92">
        <v>1.1531365313653136E-2</v>
      </c>
      <c r="BJ71" s="92">
        <v>3.105590062111801E-3</v>
      </c>
      <c r="BK71" s="92">
        <v>1.2915129151291513E-2</v>
      </c>
      <c r="BL71" s="92">
        <v>6.2111801242236021E-3</v>
      </c>
      <c r="BM71" s="92">
        <v>1.5682656826568265E-2</v>
      </c>
      <c r="BN71" s="92">
        <v>1.8633540372670808E-2</v>
      </c>
      <c r="BO71" s="92">
        <v>1.8911439114391145E-2</v>
      </c>
      <c r="BP71" s="92">
        <v>2.1739130434782608E-2</v>
      </c>
      <c r="BQ71" s="92">
        <v>2.3062730627306273E-2</v>
      </c>
      <c r="BR71" s="92">
        <v>2.3291925465838508E-2</v>
      </c>
      <c r="BS71" s="92">
        <v>2.6291512915129153E-2</v>
      </c>
      <c r="BT71" s="92">
        <v>2.6397515527950312E-2</v>
      </c>
      <c r="BU71" s="92">
        <v>2.9059040590405903E-2</v>
      </c>
      <c r="BV71" s="92">
        <v>3.2608695652173912E-2</v>
      </c>
      <c r="BW71" s="92" t="s">
        <v>311</v>
      </c>
      <c r="BX71" s="92" t="s">
        <v>311</v>
      </c>
      <c r="BY71" s="92" t="s">
        <v>318</v>
      </c>
    </row>
    <row r="72" spans="1:77" hidden="1" x14ac:dyDescent="0.25">
      <c r="A72" s="87" t="s">
        <v>62</v>
      </c>
      <c r="B72" s="87">
        <v>1</v>
      </c>
      <c r="C72" s="87">
        <v>0</v>
      </c>
      <c r="D72" s="87">
        <v>0</v>
      </c>
      <c r="E72" s="87">
        <v>0</v>
      </c>
      <c r="F72" s="87">
        <v>0</v>
      </c>
      <c r="G72" s="87">
        <v>0</v>
      </c>
      <c r="H72" s="87">
        <v>0</v>
      </c>
      <c r="I72" s="87">
        <v>2992</v>
      </c>
      <c r="J72" s="87">
        <v>230</v>
      </c>
      <c r="K72" s="92">
        <v>3.3422459893048126E-4</v>
      </c>
      <c r="L72" s="92">
        <v>0</v>
      </c>
      <c r="M72" s="92">
        <v>0</v>
      </c>
      <c r="N72" s="92">
        <v>0</v>
      </c>
      <c r="O72" s="92">
        <v>0</v>
      </c>
      <c r="P72" s="92">
        <v>0</v>
      </c>
      <c r="Q72" s="92">
        <v>0</v>
      </c>
      <c r="R72" s="87">
        <v>46</v>
      </c>
      <c r="S72" s="87">
        <v>46</v>
      </c>
      <c r="T72" s="87" t="s">
        <v>279</v>
      </c>
      <c r="U72" s="87" t="s">
        <v>288</v>
      </c>
      <c r="V72" t="s">
        <v>259</v>
      </c>
      <c r="W72">
        <v>39</v>
      </c>
      <c r="X72">
        <v>21</v>
      </c>
      <c r="Y72">
        <v>76</v>
      </c>
      <c r="Z72">
        <v>0</v>
      </c>
      <c r="AA72">
        <v>0</v>
      </c>
      <c r="AB72">
        <v>0</v>
      </c>
      <c r="AC72">
        <v>136</v>
      </c>
      <c r="AD72" s="92">
        <v>1.303475935828877E-2</v>
      </c>
      <c r="AE72" s="92">
        <v>9.1304347826086957E-2</v>
      </c>
      <c r="AF72" s="92">
        <v>2.5401069518716578E-2</v>
      </c>
      <c r="AG72" s="92">
        <v>0</v>
      </c>
      <c r="AH72" s="92">
        <v>0</v>
      </c>
      <c r="AI72" s="92">
        <v>0</v>
      </c>
      <c r="AJ72" s="92">
        <v>4.2209807572936062E-2</v>
      </c>
      <c r="AK72">
        <v>7</v>
      </c>
      <c r="AL72">
        <v>3</v>
      </c>
      <c r="AM72">
        <v>7</v>
      </c>
      <c r="AN72">
        <v>3</v>
      </c>
      <c r="AO72">
        <v>8</v>
      </c>
      <c r="AP72">
        <v>3</v>
      </c>
      <c r="AQ72">
        <v>11</v>
      </c>
      <c r="AR72">
        <v>3</v>
      </c>
      <c r="AS72">
        <v>84</v>
      </c>
      <c r="AT72">
        <v>3</v>
      </c>
      <c r="AU72">
        <v>161</v>
      </c>
      <c r="AV72">
        <v>4</v>
      </c>
      <c r="AW72">
        <v>187</v>
      </c>
      <c r="AX72">
        <v>4</v>
      </c>
      <c r="AY72">
        <v>242</v>
      </c>
      <c r="AZ72">
        <v>6</v>
      </c>
      <c r="BA72">
        <v>258</v>
      </c>
      <c r="BB72">
        <v>6</v>
      </c>
      <c r="BC72" t="s">
        <v>311</v>
      </c>
      <c r="BD72" t="s">
        <v>311</v>
      </c>
      <c r="BE72" s="92">
        <v>2.3395721925133688E-3</v>
      </c>
      <c r="BF72" s="92">
        <v>1.3043478260869565E-2</v>
      </c>
      <c r="BG72" s="92">
        <v>2.3395721925133688E-3</v>
      </c>
      <c r="BH72" s="92">
        <v>1.3043478260869565E-2</v>
      </c>
      <c r="BI72" s="92">
        <v>2.6737967914438501E-3</v>
      </c>
      <c r="BJ72" s="92">
        <v>1.3043478260869565E-2</v>
      </c>
      <c r="BK72" s="92">
        <v>3.6764705882352941E-3</v>
      </c>
      <c r="BL72" s="92">
        <v>1.3043478260869565E-2</v>
      </c>
      <c r="BM72" s="92">
        <v>2.8074866310160429E-2</v>
      </c>
      <c r="BN72" s="92">
        <v>1.3043478260869565E-2</v>
      </c>
      <c r="BO72" s="92">
        <v>5.3810160427807487E-2</v>
      </c>
      <c r="BP72" s="92">
        <v>1.7391304347826087E-2</v>
      </c>
      <c r="BQ72" s="92">
        <v>6.25E-2</v>
      </c>
      <c r="BR72" s="92">
        <v>1.7391304347826087E-2</v>
      </c>
      <c r="BS72" s="92">
        <v>8.0882352941176475E-2</v>
      </c>
      <c r="BT72" s="92">
        <v>2.6086956521739129E-2</v>
      </c>
      <c r="BU72" s="92">
        <v>8.6229946524064169E-2</v>
      </c>
      <c r="BV72" s="92">
        <v>2.6086956521739129E-2</v>
      </c>
      <c r="BW72" s="92" t="s">
        <v>311</v>
      </c>
      <c r="BX72" s="92" t="s">
        <v>311</v>
      </c>
      <c r="BY72" s="92" t="s">
        <v>317</v>
      </c>
    </row>
    <row r="73" spans="1:77" hidden="1" x14ac:dyDescent="0.25">
      <c r="A73" s="86" t="s">
        <v>63</v>
      </c>
      <c r="B73" s="86">
        <v>5506</v>
      </c>
      <c r="C73" s="86">
        <v>252</v>
      </c>
      <c r="D73" s="86">
        <v>3233</v>
      </c>
      <c r="E73" s="86">
        <v>182</v>
      </c>
      <c r="F73" s="86">
        <v>2947</v>
      </c>
      <c r="G73" s="86">
        <v>151</v>
      </c>
      <c r="H73" s="86">
        <v>3098</v>
      </c>
      <c r="I73" s="86">
        <v>21122</v>
      </c>
      <c r="J73" s="86">
        <v>991</v>
      </c>
      <c r="K73" s="93">
        <v>0.26067607234163431</v>
      </c>
      <c r="L73" s="93">
        <v>0.25428859737638748</v>
      </c>
      <c r="M73" s="93">
        <v>0.15306315689802102</v>
      </c>
      <c r="N73" s="93">
        <v>0.18365287588294651</v>
      </c>
      <c r="O73" s="93">
        <v>0.13952277246472872</v>
      </c>
      <c r="P73" s="93">
        <v>0.15237134207870837</v>
      </c>
      <c r="Q73" s="93">
        <v>0.14009858454302898</v>
      </c>
      <c r="R73" s="86">
        <v>5</v>
      </c>
      <c r="S73" s="86">
        <v>17</v>
      </c>
      <c r="T73" s="86" t="s">
        <v>279</v>
      </c>
      <c r="U73" s="86" t="s">
        <v>286</v>
      </c>
      <c r="V73" t="s">
        <v>259</v>
      </c>
      <c r="W73">
        <v>2175</v>
      </c>
      <c r="X73">
        <v>78</v>
      </c>
      <c r="Y73">
        <v>1319</v>
      </c>
      <c r="Z73">
        <v>56</v>
      </c>
      <c r="AA73">
        <v>0</v>
      </c>
      <c r="AB73">
        <v>0</v>
      </c>
      <c r="AC73">
        <v>3628</v>
      </c>
      <c r="AD73" s="92">
        <v>0.10297320329514251</v>
      </c>
      <c r="AE73" s="92">
        <v>7.8708375378405651E-2</v>
      </c>
      <c r="AF73" s="92">
        <v>6.2446737998295615E-2</v>
      </c>
      <c r="AG73" s="92">
        <v>5.6508577194752774E-2</v>
      </c>
      <c r="AH73" s="92">
        <v>0</v>
      </c>
      <c r="AI73" s="92">
        <v>0</v>
      </c>
      <c r="AJ73" s="92">
        <v>0.16406638628860851</v>
      </c>
      <c r="AK73">
        <v>551</v>
      </c>
      <c r="AL73">
        <v>13</v>
      </c>
      <c r="AM73">
        <v>949</v>
      </c>
      <c r="AN73">
        <v>16</v>
      </c>
      <c r="AO73">
        <v>1322</v>
      </c>
      <c r="AP73">
        <v>20</v>
      </c>
      <c r="AQ73">
        <v>1755</v>
      </c>
      <c r="AR73">
        <v>27</v>
      </c>
      <c r="AS73">
        <v>2329</v>
      </c>
      <c r="AT73">
        <v>36</v>
      </c>
      <c r="AU73">
        <v>2644</v>
      </c>
      <c r="AV73">
        <v>61</v>
      </c>
      <c r="AW73">
        <v>2824</v>
      </c>
      <c r="AX73">
        <v>75</v>
      </c>
      <c r="AY73">
        <v>2992</v>
      </c>
      <c r="AZ73">
        <v>86</v>
      </c>
      <c r="BA73">
        <v>3113</v>
      </c>
      <c r="BB73">
        <v>93</v>
      </c>
      <c r="BC73">
        <v>596</v>
      </c>
      <c r="BD73">
        <v>28</v>
      </c>
      <c r="BE73" s="92">
        <v>2.6086544834769434E-2</v>
      </c>
      <c r="BF73" s="92">
        <v>1.3118062563067608E-2</v>
      </c>
      <c r="BG73" s="92">
        <v>4.492945743774264E-2</v>
      </c>
      <c r="BH73" s="92">
        <v>1.6145307769929364E-2</v>
      </c>
      <c r="BI73" s="92">
        <v>6.2588770002840646E-2</v>
      </c>
      <c r="BJ73" s="92">
        <v>2.0181634712411706E-2</v>
      </c>
      <c r="BK73" s="92">
        <v>8.3088722658839126E-2</v>
      </c>
      <c r="BL73" s="92">
        <v>2.7245206861755803E-2</v>
      </c>
      <c r="BM73" s="92">
        <v>0.11026417952845374</v>
      </c>
      <c r="BN73" s="92">
        <v>3.6326942482341071E-2</v>
      </c>
      <c r="BO73" s="92">
        <v>0.12517754000568129</v>
      </c>
      <c r="BP73" s="92">
        <v>6.1553985872855703E-2</v>
      </c>
      <c r="BQ73" s="92">
        <v>0.13369946027838273</v>
      </c>
      <c r="BR73" s="92">
        <v>7.5681130171543889E-2</v>
      </c>
      <c r="BS73" s="92">
        <v>0.14165325253290409</v>
      </c>
      <c r="BT73" s="92">
        <v>8.6781029263370335E-2</v>
      </c>
      <c r="BU73" s="92">
        <v>0.14738187671622005</v>
      </c>
      <c r="BV73" s="92">
        <v>9.3844601412714432E-2</v>
      </c>
      <c r="BW73" s="92">
        <v>2.8217024902944796E-2</v>
      </c>
      <c r="BX73" s="92">
        <v>2.8254288597376387E-2</v>
      </c>
      <c r="BY73" s="92" t="s">
        <v>317</v>
      </c>
    </row>
    <row r="74" spans="1:77" hidden="1" x14ac:dyDescent="0.25">
      <c r="A74" s="87" t="s">
        <v>65</v>
      </c>
      <c r="B74" s="87">
        <v>1</v>
      </c>
      <c r="C74" s="87">
        <v>0</v>
      </c>
      <c r="D74" s="87">
        <v>1</v>
      </c>
      <c r="E74" s="87">
        <v>0</v>
      </c>
      <c r="F74" s="87">
        <v>0</v>
      </c>
      <c r="G74" s="87">
        <v>0</v>
      </c>
      <c r="H74" s="87">
        <v>0</v>
      </c>
      <c r="I74" s="87">
        <v>4784</v>
      </c>
      <c r="J74" s="87">
        <v>25</v>
      </c>
      <c r="K74" s="92">
        <v>2.0903010033444816E-4</v>
      </c>
      <c r="L74" s="92">
        <v>0</v>
      </c>
      <c r="M74" s="92">
        <v>2.0903010033444816E-4</v>
      </c>
      <c r="N74" s="92">
        <v>0</v>
      </c>
      <c r="O74" s="92">
        <v>0</v>
      </c>
      <c r="P74" s="92">
        <v>0</v>
      </c>
      <c r="Q74" s="92">
        <v>0</v>
      </c>
      <c r="R74" s="87">
        <v>46</v>
      </c>
      <c r="S74" s="87">
        <v>46</v>
      </c>
      <c r="T74" s="87" t="s">
        <v>284</v>
      </c>
      <c r="U74" s="87" t="s">
        <v>285</v>
      </c>
      <c r="V74" t="s">
        <v>260</v>
      </c>
      <c r="W74">
        <v>4</v>
      </c>
      <c r="X74">
        <v>1</v>
      </c>
      <c r="Y74">
        <v>166</v>
      </c>
      <c r="Z74">
        <v>0</v>
      </c>
      <c r="AA74">
        <v>0</v>
      </c>
      <c r="AB74">
        <v>0</v>
      </c>
      <c r="AC74">
        <v>171</v>
      </c>
      <c r="AD74" s="92">
        <v>8.3612040133779263E-4</v>
      </c>
      <c r="AE74" s="92">
        <v>0.04</v>
      </c>
      <c r="AF74" s="92">
        <v>3.4698996655518392E-2</v>
      </c>
      <c r="AG74" s="92">
        <v>0</v>
      </c>
      <c r="AH74" s="92">
        <v>0</v>
      </c>
      <c r="AI74" s="92">
        <v>0</v>
      </c>
      <c r="AJ74" s="92">
        <v>3.5558328134747345E-2</v>
      </c>
      <c r="AK74">
        <v>2</v>
      </c>
      <c r="AL74">
        <v>0</v>
      </c>
      <c r="AM74">
        <v>2</v>
      </c>
      <c r="AN74">
        <v>0</v>
      </c>
      <c r="AO74">
        <v>2</v>
      </c>
      <c r="AP74">
        <v>0</v>
      </c>
      <c r="AQ74">
        <v>2</v>
      </c>
      <c r="AR74">
        <v>0</v>
      </c>
      <c r="AS74">
        <v>2</v>
      </c>
      <c r="AT74">
        <v>0</v>
      </c>
      <c r="AU74">
        <v>11</v>
      </c>
      <c r="AV74">
        <v>0</v>
      </c>
      <c r="AW74">
        <v>28</v>
      </c>
      <c r="AX74">
        <v>0</v>
      </c>
      <c r="AY74">
        <v>59</v>
      </c>
      <c r="AZ74">
        <v>0</v>
      </c>
      <c r="BA74">
        <v>102</v>
      </c>
      <c r="BB74">
        <v>0</v>
      </c>
      <c r="BC74" t="s">
        <v>311</v>
      </c>
      <c r="BD74" t="s">
        <v>311</v>
      </c>
      <c r="BE74" s="92">
        <v>4.1806020066889631E-4</v>
      </c>
      <c r="BF74" s="92">
        <v>0</v>
      </c>
      <c r="BG74" s="92">
        <v>4.1806020066889631E-4</v>
      </c>
      <c r="BH74" s="92">
        <v>0</v>
      </c>
      <c r="BI74" s="92">
        <v>4.1806020066889631E-4</v>
      </c>
      <c r="BJ74" s="92">
        <v>0</v>
      </c>
      <c r="BK74" s="92">
        <v>4.1806020066889631E-4</v>
      </c>
      <c r="BL74" s="92">
        <v>0</v>
      </c>
      <c r="BM74" s="92">
        <v>4.1806020066889631E-4</v>
      </c>
      <c r="BN74" s="92">
        <v>0</v>
      </c>
      <c r="BO74" s="92">
        <v>2.29933110367893E-3</v>
      </c>
      <c r="BP74" s="92">
        <v>0</v>
      </c>
      <c r="BQ74" s="92">
        <v>5.8528428093645481E-3</v>
      </c>
      <c r="BR74" s="92">
        <v>0</v>
      </c>
      <c r="BS74" s="92">
        <v>1.2332775919732442E-2</v>
      </c>
      <c r="BT74" s="92">
        <v>0</v>
      </c>
      <c r="BU74" s="92">
        <v>2.1321070234113712E-2</v>
      </c>
      <c r="BV74" s="92">
        <v>0</v>
      </c>
      <c r="BW74" s="92" t="s">
        <v>311</v>
      </c>
      <c r="BX74" s="92" t="s">
        <v>311</v>
      </c>
      <c r="BY74" s="92" t="s">
        <v>317</v>
      </c>
    </row>
    <row r="75" spans="1:77" hidden="1" x14ac:dyDescent="0.25">
      <c r="A75" s="86" t="s">
        <v>129</v>
      </c>
      <c r="B75" s="86">
        <v>1</v>
      </c>
      <c r="C75" s="86">
        <v>0</v>
      </c>
      <c r="D75" s="86">
        <v>5</v>
      </c>
      <c r="E75" s="86">
        <v>0</v>
      </c>
      <c r="F75" s="86">
        <v>95</v>
      </c>
      <c r="G75" s="86">
        <v>7</v>
      </c>
      <c r="H75" s="86">
        <v>102</v>
      </c>
      <c r="I75" s="86">
        <v>1080</v>
      </c>
      <c r="J75" s="86">
        <v>180</v>
      </c>
      <c r="K75" s="93">
        <v>9.2592592592592596E-4</v>
      </c>
      <c r="L75" s="93">
        <v>0</v>
      </c>
      <c r="M75" s="93">
        <v>4.6296296296296294E-3</v>
      </c>
      <c r="N75" s="93">
        <v>0</v>
      </c>
      <c r="O75" s="93">
        <v>8.7962962962962965E-2</v>
      </c>
      <c r="P75" s="93">
        <v>3.888888888888889E-2</v>
      </c>
      <c r="Q75" s="93">
        <v>8.0952380952380956E-2</v>
      </c>
      <c r="R75" s="86">
        <v>33</v>
      </c>
      <c r="S75" s="86">
        <v>21</v>
      </c>
      <c r="T75" s="86" t="s">
        <v>284</v>
      </c>
      <c r="U75" s="86" t="s">
        <v>286</v>
      </c>
      <c r="V75" t="s">
        <v>260</v>
      </c>
      <c r="W75">
        <v>82</v>
      </c>
      <c r="X75">
        <v>23</v>
      </c>
      <c r="Y75">
        <v>21</v>
      </c>
      <c r="Z75">
        <v>2</v>
      </c>
      <c r="AA75">
        <v>0</v>
      </c>
      <c r="AB75">
        <v>0</v>
      </c>
      <c r="AC75">
        <v>128</v>
      </c>
      <c r="AD75" s="92">
        <v>7.5925925925925924E-2</v>
      </c>
      <c r="AE75" s="92">
        <v>0.12777777777777777</v>
      </c>
      <c r="AF75" s="92">
        <v>1.9444444444444445E-2</v>
      </c>
      <c r="AG75" s="92">
        <v>1.1111111111111112E-2</v>
      </c>
      <c r="AH75" s="92">
        <v>0</v>
      </c>
      <c r="AI75" s="92">
        <v>0</v>
      </c>
      <c r="AJ75" s="92">
        <v>0.10158730158730159</v>
      </c>
      <c r="AK75">
        <v>0</v>
      </c>
      <c r="AL75">
        <v>0</v>
      </c>
      <c r="AM75">
        <v>0</v>
      </c>
      <c r="AN75">
        <v>0</v>
      </c>
      <c r="AO75">
        <v>0</v>
      </c>
      <c r="AP75">
        <v>0</v>
      </c>
      <c r="AQ75">
        <v>0</v>
      </c>
      <c r="AR75">
        <v>0</v>
      </c>
      <c r="AS75">
        <v>0</v>
      </c>
      <c r="AT75">
        <v>0</v>
      </c>
      <c r="AU75">
        <v>0</v>
      </c>
      <c r="AV75">
        <v>0</v>
      </c>
      <c r="AW75">
        <v>0</v>
      </c>
      <c r="AX75">
        <v>0</v>
      </c>
      <c r="AY75">
        <v>0</v>
      </c>
      <c r="AZ75">
        <v>0</v>
      </c>
      <c r="BA75">
        <v>0</v>
      </c>
      <c r="BB75">
        <v>0</v>
      </c>
      <c r="BC75" t="s">
        <v>311</v>
      </c>
      <c r="BD75" t="s">
        <v>311</v>
      </c>
      <c r="BE75" s="92">
        <v>0</v>
      </c>
      <c r="BF75" s="92">
        <v>0</v>
      </c>
      <c r="BG75" s="92">
        <v>0</v>
      </c>
      <c r="BH75" s="92">
        <v>0</v>
      </c>
      <c r="BI75" s="92">
        <v>0</v>
      </c>
      <c r="BJ75" s="92">
        <v>0</v>
      </c>
      <c r="BK75" s="92">
        <v>0</v>
      </c>
      <c r="BL75" s="92">
        <v>0</v>
      </c>
      <c r="BM75" s="92">
        <v>0</v>
      </c>
      <c r="BN75" s="92">
        <v>0</v>
      </c>
      <c r="BO75" s="92">
        <v>0</v>
      </c>
      <c r="BP75" s="92">
        <v>0</v>
      </c>
      <c r="BQ75" s="92">
        <v>0</v>
      </c>
      <c r="BR75" s="92">
        <v>0</v>
      </c>
      <c r="BS75" s="92">
        <v>0</v>
      </c>
      <c r="BT75" s="92">
        <v>0</v>
      </c>
      <c r="BU75" s="92">
        <v>0</v>
      </c>
      <c r="BV75" s="92">
        <v>0</v>
      </c>
      <c r="BW75" s="92" t="s">
        <v>311</v>
      </c>
      <c r="BX75" s="92" t="s">
        <v>311</v>
      </c>
      <c r="BY75" s="92" t="s">
        <v>317</v>
      </c>
    </row>
    <row r="76" spans="1:77" hidden="1" x14ac:dyDescent="0.25">
      <c r="A76" s="87" t="s">
        <v>64</v>
      </c>
      <c r="B76" s="87">
        <v>4</v>
      </c>
      <c r="C76" s="87">
        <v>1</v>
      </c>
      <c r="D76" s="87">
        <v>0</v>
      </c>
      <c r="E76" s="87">
        <v>0</v>
      </c>
      <c r="F76" s="87">
        <v>0</v>
      </c>
      <c r="G76" s="87">
        <v>0</v>
      </c>
      <c r="H76" s="87">
        <v>0</v>
      </c>
      <c r="I76" s="87">
        <v>17788</v>
      </c>
      <c r="J76" s="87">
        <v>3713</v>
      </c>
      <c r="K76" s="92">
        <v>2.2487069934787497E-4</v>
      </c>
      <c r="L76" s="92">
        <v>2.6932399676811203E-4</v>
      </c>
      <c r="M76" s="92">
        <v>0</v>
      </c>
      <c r="N76" s="92">
        <v>0</v>
      </c>
      <c r="O76" s="92">
        <v>0</v>
      </c>
      <c r="P76" s="92">
        <v>0</v>
      </c>
      <c r="Q76" s="92">
        <v>0</v>
      </c>
      <c r="R76" s="87">
        <v>46</v>
      </c>
      <c r="S76" s="87">
        <v>46</v>
      </c>
      <c r="T76" s="87" t="s">
        <v>284</v>
      </c>
      <c r="U76" s="87" t="s">
        <v>286</v>
      </c>
      <c r="V76" t="s">
        <v>260</v>
      </c>
      <c r="W76">
        <v>694</v>
      </c>
      <c r="X76">
        <v>188</v>
      </c>
      <c r="Y76">
        <v>667</v>
      </c>
      <c r="Z76">
        <v>362</v>
      </c>
      <c r="AA76">
        <v>0</v>
      </c>
      <c r="AB76">
        <v>0</v>
      </c>
      <c r="AC76">
        <v>1911</v>
      </c>
      <c r="AD76" s="92">
        <v>3.9015066336856308E-2</v>
      </c>
      <c r="AE76" s="92">
        <v>5.0632911392405063E-2</v>
      </c>
      <c r="AF76" s="92">
        <v>3.7497189116258149E-2</v>
      </c>
      <c r="AG76" s="92">
        <v>9.7495286830056552E-2</v>
      </c>
      <c r="AH76" s="92">
        <v>0</v>
      </c>
      <c r="AI76" s="92">
        <v>0</v>
      </c>
      <c r="AJ76" s="92">
        <v>8.8879586995953677E-2</v>
      </c>
      <c r="AK76">
        <v>7</v>
      </c>
      <c r="AL76">
        <v>2</v>
      </c>
      <c r="AM76">
        <v>10</v>
      </c>
      <c r="AN76">
        <v>2</v>
      </c>
      <c r="AO76">
        <v>12</v>
      </c>
      <c r="AP76">
        <v>3</v>
      </c>
      <c r="AQ76">
        <v>13</v>
      </c>
      <c r="AR76">
        <v>4</v>
      </c>
      <c r="AS76">
        <v>14</v>
      </c>
      <c r="AT76">
        <v>4</v>
      </c>
      <c r="AU76">
        <v>22</v>
      </c>
      <c r="AV76">
        <v>5</v>
      </c>
      <c r="AW76">
        <v>35</v>
      </c>
      <c r="AX76">
        <v>7</v>
      </c>
      <c r="AY76">
        <v>144</v>
      </c>
      <c r="AZ76">
        <v>48</v>
      </c>
      <c r="BA76">
        <v>343</v>
      </c>
      <c r="BB76">
        <v>218</v>
      </c>
      <c r="BC76" t="s">
        <v>311</v>
      </c>
      <c r="BD76" t="s">
        <v>311</v>
      </c>
      <c r="BE76" s="92">
        <v>3.9352372385878119E-4</v>
      </c>
      <c r="BF76" s="92">
        <v>5.3864799353622406E-4</v>
      </c>
      <c r="BG76" s="92">
        <v>5.6217674836968746E-4</v>
      </c>
      <c r="BH76" s="92">
        <v>5.3864799353622406E-4</v>
      </c>
      <c r="BI76" s="92">
        <v>6.7461209804362487E-4</v>
      </c>
      <c r="BJ76" s="92">
        <v>8.0797199030433614E-4</v>
      </c>
      <c r="BK76" s="92">
        <v>7.3082977288059362E-4</v>
      </c>
      <c r="BL76" s="92">
        <v>1.0772959870724481E-3</v>
      </c>
      <c r="BM76" s="92">
        <v>7.8704744771756238E-4</v>
      </c>
      <c r="BN76" s="92">
        <v>1.0772959870724481E-3</v>
      </c>
      <c r="BO76" s="92">
        <v>1.2367888464133124E-3</v>
      </c>
      <c r="BP76" s="92">
        <v>1.3466199838405601E-3</v>
      </c>
      <c r="BQ76" s="92">
        <v>1.9676186192939061E-3</v>
      </c>
      <c r="BR76" s="92">
        <v>1.8852679773767843E-3</v>
      </c>
      <c r="BS76" s="92">
        <v>8.0953451765234993E-3</v>
      </c>
      <c r="BT76" s="92">
        <v>1.2927551844869378E-2</v>
      </c>
      <c r="BU76" s="92">
        <v>1.9282662469080277E-2</v>
      </c>
      <c r="BV76" s="92">
        <v>5.8712631295448424E-2</v>
      </c>
      <c r="BW76" s="92" t="s">
        <v>311</v>
      </c>
      <c r="BX76" s="92" t="s">
        <v>311</v>
      </c>
      <c r="BY76" s="92" t="s">
        <v>317</v>
      </c>
    </row>
    <row r="77" spans="1:77" hidden="1" x14ac:dyDescent="0.25">
      <c r="A77" s="86" t="s">
        <v>130</v>
      </c>
      <c r="B77" s="86" t="s">
        <v>311</v>
      </c>
      <c r="C77" s="86" t="s">
        <v>311</v>
      </c>
      <c r="D77" s="86" t="s">
        <v>311</v>
      </c>
      <c r="E77" s="86" t="s">
        <v>311</v>
      </c>
      <c r="F77" s="86">
        <v>1</v>
      </c>
      <c r="G77" s="86">
        <v>0</v>
      </c>
      <c r="H77" s="86">
        <v>1</v>
      </c>
      <c r="I77" s="86">
        <v>1578</v>
      </c>
      <c r="J77" s="86">
        <v>297</v>
      </c>
      <c r="K77" s="93" t="s">
        <v>311</v>
      </c>
      <c r="L77" s="93" t="s">
        <v>311</v>
      </c>
      <c r="M77" s="93" t="s">
        <v>311</v>
      </c>
      <c r="N77" s="93" t="s">
        <v>311</v>
      </c>
      <c r="O77" s="93">
        <v>6.3371356147021542E-4</v>
      </c>
      <c r="P77" s="93">
        <v>0</v>
      </c>
      <c r="Q77" s="93">
        <v>5.3333333333333336E-4</v>
      </c>
      <c r="R77" s="86">
        <v>43</v>
      </c>
      <c r="S77" s="86">
        <v>39</v>
      </c>
      <c r="T77" s="86" t="s">
        <v>284</v>
      </c>
      <c r="U77" s="86" t="s">
        <v>286</v>
      </c>
      <c r="V77" t="s">
        <v>260</v>
      </c>
      <c r="W77">
        <v>34</v>
      </c>
      <c r="X77">
        <v>11</v>
      </c>
      <c r="Y77">
        <v>66</v>
      </c>
      <c r="Z77">
        <v>61</v>
      </c>
      <c r="AA77">
        <v>25</v>
      </c>
      <c r="AB77">
        <v>0</v>
      </c>
      <c r="AC77">
        <v>197</v>
      </c>
      <c r="AD77" s="92">
        <v>2.1546261089987327E-2</v>
      </c>
      <c r="AE77" s="92">
        <v>3.7037037037037035E-2</v>
      </c>
      <c r="AF77" s="92">
        <v>4.1825095057034217E-2</v>
      </c>
      <c r="AG77" s="92">
        <v>0.2053872053872054</v>
      </c>
      <c r="AH77" s="92">
        <v>1.5842839036755388E-2</v>
      </c>
      <c r="AI77" s="92">
        <v>0</v>
      </c>
      <c r="AJ77" s="92">
        <v>0.10506666666666667</v>
      </c>
      <c r="AK77">
        <v>0</v>
      </c>
      <c r="AL77">
        <v>0</v>
      </c>
      <c r="AM77">
        <v>0</v>
      </c>
      <c r="AN77">
        <v>0</v>
      </c>
      <c r="AO77">
        <v>0</v>
      </c>
      <c r="AP77">
        <v>0</v>
      </c>
      <c r="AQ77">
        <v>0</v>
      </c>
      <c r="AR77">
        <v>0</v>
      </c>
      <c r="AS77">
        <v>0</v>
      </c>
      <c r="AT77">
        <v>0</v>
      </c>
      <c r="AU77">
        <v>0</v>
      </c>
      <c r="AV77">
        <v>0</v>
      </c>
      <c r="AW77">
        <v>0</v>
      </c>
      <c r="AX77">
        <v>0</v>
      </c>
      <c r="AY77">
        <v>0</v>
      </c>
      <c r="AZ77">
        <v>0</v>
      </c>
      <c r="BA77">
        <v>0</v>
      </c>
      <c r="BB77">
        <v>0</v>
      </c>
      <c r="BC77" t="s">
        <v>311</v>
      </c>
      <c r="BD77" t="s">
        <v>311</v>
      </c>
      <c r="BE77" s="92">
        <v>0</v>
      </c>
      <c r="BF77" s="92">
        <v>0</v>
      </c>
      <c r="BG77" s="92">
        <v>0</v>
      </c>
      <c r="BH77" s="92">
        <v>0</v>
      </c>
      <c r="BI77" s="92">
        <v>0</v>
      </c>
      <c r="BJ77" s="92">
        <v>0</v>
      </c>
      <c r="BK77" s="92">
        <v>0</v>
      </c>
      <c r="BL77" s="92">
        <v>0</v>
      </c>
      <c r="BM77" s="92">
        <v>0</v>
      </c>
      <c r="BN77" s="92">
        <v>0</v>
      </c>
      <c r="BO77" s="92">
        <v>0</v>
      </c>
      <c r="BP77" s="92">
        <v>0</v>
      </c>
      <c r="BQ77" s="92">
        <v>0</v>
      </c>
      <c r="BR77" s="92">
        <v>0</v>
      </c>
      <c r="BS77" s="92">
        <v>0</v>
      </c>
      <c r="BT77" s="92">
        <v>0</v>
      </c>
      <c r="BU77" s="92">
        <v>0</v>
      </c>
      <c r="BV77" s="92">
        <v>0</v>
      </c>
      <c r="BW77" s="92" t="s">
        <v>311</v>
      </c>
      <c r="BX77" s="92" t="s">
        <v>311</v>
      </c>
      <c r="BY77" s="92" t="s">
        <v>318</v>
      </c>
    </row>
    <row r="78" spans="1:77" hidden="1" x14ac:dyDescent="0.25">
      <c r="A78" s="87" t="s">
        <v>66</v>
      </c>
      <c r="B78" s="87">
        <v>2096</v>
      </c>
      <c r="C78" s="87">
        <v>37</v>
      </c>
      <c r="D78" s="87">
        <v>543</v>
      </c>
      <c r="E78" s="87">
        <v>13</v>
      </c>
      <c r="F78" s="87">
        <v>2404</v>
      </c>
      <c r="G78" s="87">
        <v>311</v>
      </c>
      <c r="H78" s="87">
        <v>2715</v>
      </c>
      <c r="I78" s="87">
        <v>8486</v>
      </c>
      <c r="J78" s="87">
        <v>808</v>
      </c>
      <c r="K78" s="92">
        <v>0.24699505067169455</v>
      </c>
      <c r="L78" s="92">
        <v>4.5792079207920791E-2</v>
      </c>
      <c r="M78" s="92">
        <v>6.3987744520386525E-2</v>
      </c>
      <c r="N78" s="92">
        <v>1.608910891089109E-2</v>
      </c>
      <c r="O78" s="92">
        <v>0.28329012491161915</v>
      </c>
      <c r="P78" s="92">
        <v>0.38490099009900991</v>
      </c>
      <c r="Q78" s="92">
        <v>0.29212395093608778</v>
      </c>
      <c r="R78" s="87">
        <v>9</v>
      </c>
      <c r="S78" s="87">
        <v>7</v>
      </c>
      <c r="T78" s="87" t="s">
        <v>284</v>
      </c>
      <c r="U78" s="87" t="s">
        <v>286</v>
      </c>
      <c r="V78" t="s">
        <v>260</v>
      </c>
      <c r="W78">
        <v>581</v>
      </c>
      <c r="X78">
        <v>15</v>
      </c>
      <c r="Y78">
        <v>87</v>
      </c>
      <c r="Z78">
        <v>0</v>
      </c>
      <c r="AA78">
        <v>0</v>
      </c>
      <c r="AB78">
        <v>0</v>
      </c>
      <c r="AC78">
        <v>683</v>
      </c>
      <c r="AD78" s="92">
        <v>6.8465708225312283E-2</v>
      </c>
      <c r="AE78" s="92">
        <v>1.8564356435643563E-2</v>
      </c>
      <c r="AF78" s="92">
        <v>1.0252180061277398E-2</v>
      </c>
      <c r="AG78" s="92">
        <v>0</v>
      </c>
      <c r="AH78" s="92">
        <v>0</v>
      </c>
      <c r="AI78" s="92">
        <v>0</v>
      </c>
      <c r="AJ78" s="92">
        <v>7.3488272003443086E-2</v>
      </c>
      <c r="AK78">
        <v>8</v>
      </c>
      <c r="AL78">
        <v>1</v>
      </c>
      <c r="AM78">
        <v>120</v>
      </c>
      <c r="AN78">
        <v>4</v>
      </c>
      <c r="AO78">
        <v>136</v>
      </c>
      <c r="AP78">
        <v>4</v>
      </c>
      <c r="AQ78">
        <v>143</v>
      </c>
      <c r="AR78">
        <v>4</v>
      </c>
      <c r="AS78">
        <v>154</v>
      </c>
      <c r="AT78">
        <v>4</v>
      </c>
      <c r="AU78">
        <v>158</v>
      </c>
      <c r="AV78">
        <v>4</v>
      </c>
      <c r="AW78">
        <v>158</v>
      </c>
      <c r="AX78">
        <v>4</v>
      </c>
      <c r="AY78">
        <v>160</v>
      </c>
      <c r="AZ78">
        <v>4</v>
      </c>
      <c r="BA78">
        <v>161</v>
      </c>
      <c r="BB78">
        <v>4</v>
      </c>
      <c r="BC78" t="s">
        <v>311</v>
      </c>
      <c r="BD78" t="s">
        <v>311</v>
      </c>
      <c r="BE78" s="92">
        <v>9.4272920103700216E-4</v>
      </c>
      <c r="BF78" s="92">
        <v>1.2376237623762376E-3</v>
      </c>
      <c r="BG78" s="92">
        <v>1.4140938015555032E-2</v>
      </c>
      <c r="BH78" s="92">
        <v>4.9504950495049506E-3</v>
      </c>
      <c r="BI78" s="92">
        <v>1.6026396417629037E-2</v>
      </c>
      <c r="BJ78" s="92">
        <v>4.9504950495049506E-3</v>
      </c>
      <c r="BK78" s="92">
        <v>1.6851284468536412E-2</v>
      </c>
      <c r="BL78" s="92">
        <v>4.9504950495049506E-3</v>
      </c>
      <c r="BM78" s="92">
        <v>1.8147537119962292E-2</v>
      </c>
      <c r="BN78" s="92">
        <v>4.9504950495049506E-3</v>
      </c>
      <c r="BO78" s="92">
        <v>1.8618901720480793E-2</v>
      </c>
      <c r="BP78" s="92">
        <v>4.9504950495049506E-3</v>
      </c>
      <c r="BQ78" s="92">
        <v>1.8618901720480793E-2</v>
      </c>
      <c r="BR78" s="92">
        <v>4.9504950495049506E-3</v>
      </c>
      <c r="BS78" s="92">
        <v>1.8854584020740042E-2</v>
      </c>
      <c r="BT78" s="92">
        <v>4.9504950495049506E-3</v>
      </c>
      <c r="BU78" s="92">
        <v>1.8972425170869667E-2</v>
      </c>
      <c r="BV78" s="92">
        <v>4.9504950495049506E-3</v>
      </c>
      <c r="BW78" s="92" t="s">
        <v>311</v>
      </c>
      <c r="BX78" s="92" t="s">
        <v>311</v>
      </c>
      <c r="BY78" s="92" t="s">
        <v>318</v>
      </c>
    </row>
    <row r="79" spans="1:77" hidden="1" x14ac:dyDescent="0.25">
      <c r="A79" s="86" t="s">
        <v>67</v>
      </c>
      <c r="B79" s="86" t="s">
        <v>311</v>
      </c>
      <c r="C79" s="86" t="s">
        <v>311</v>
      </c>
      <c r="D79" s="86" t="s">
        <v>311</v>
      </c>
      <c r="E79" s="86" t="s">
        <v>311</v>
      </c>
      <c r="F79" s="86">
        <v>0</v>
      </c>
      <c r="G79" s="86">
        <v>0</v>
      </c>
      <c r="H79" s="86">
        <v>0</v>
      </c>
      <c r="I79" s="86">
        <v>507</v>
      </c>
      <c r="J79" s="86">
        <v>244</v>
      </c>
      <c r="K79" s="93" t="s">
        <v>311</v>
      </c>
      <c r="L79" s="93" t="s">
        <v>311</v>
      </c>
      <c r="M79" s="93" t="s">
        <v>311</v>
      </c>
      <c r="N79" s="93" t="s">
        <v>311</v>
      </c>
      <c r="O79" s="93">
        <v>0</v>
      </c>
      <c r="P79" s="93">
        <v>0</v>
      </c>
      <c r="Q79" s="93">
        <v>0</v>
      </c>
      <c r="R79" s="86">
        <v>46</v>
      </c>
      <c r="S79" s="86">
        <v>46</v>
      </c>
      <c r="T79" s="86" t="s">
        <v>284</v>
      </c>
      <c r="U79" s="86" t="s">
        <v>286</v>
      </c>
      <c r="V79" t="s">
        <v>260</v>
      </c>
      <c r="W79">
        <v>62</v>
      </c>
      <c r="X79">
        <v>7</v>
      </c>
      <c r="Y79">
        <v>63</v>
      </c>
      <c r="Z79">
        <v>33</v>
      </c>
      <c r="AA79">
        <v>0</v>
      </c>
      <c r="AB79">
        <v>0</v>
      </c>
      <c r="AC79">
        <v>165</v>
      </c>
      <c r="AD79" s="92">
        <v>0.1222879684418146</v>
      </c>
      <c r="AE79" s="92">
        <v>2.8688524590163935E-2</v>
      </c>
      <c r="AF79" s="92">
        <v>0.1242603550295858</v>
      </c>
      <c r="AG79" s="92">
        <v>0.13524590163934427</v>
      </c>
      <c r="AH79" s="92">
        <v>0</v>
      </c>
      <c r="AI79" s="92">
        <v>0</v>
      </c>
      <c r="AJ79" s="92">
        <v>0.21970705725699069</v>
      </c>
      <c r="AK79">
        <v>0</v>
      </c>
      <c r="AL79">
        <v>0</v>
      </c>
      <c r="AM79">
        <v>0</v>
      </c>
      <c r="AN79">
        <v>0</v>
      </c>
      <c r="AO79">
        <v>0</v>
      </c>
      <c r="AP79">
        <v>0</v>
      </c>
      <c r="AQ79">
        <v>0</v>
      </c>
      <c r="AR79">
        <v>0</v>
      </c>
      <c r="AS79">
        <v>0</v>
      </c>
      <c r="AT79">
        <v>0</v>
      </c>
      <c r="AU79">
        <v>0</v>
      </c>
      <c r="AV79">
        <v>0</v>
      </c>
      <c r="AW79">
        <v>0</v>
      </c>
      <c r="AX79">
        <v>0</v>
      </c>
      <c r="AY79">
        <v>0</v>
      </c>
      <c r="AZ79">
        <v>0</v>
      </c>
      <c r="BA79">
        <v>0</v>
      </c>
      <c r="BB79">
        <v>0</v>
      </c>
      <c r="BC79" t="s">
        <v>311</v>
      </c>
      <c r="BD79" t="s">
        <v>311</v>
      </c>
      <c r="BE79" s="92">
        <v>0</v>
      </c>
      <c r="BF79" s="92">
        <v>0</v>
      </c>
      <c r="BG79" s="92">
        <v>0</v>
      </c>
      <c r="BH79" s="92">
        <v>0</v>
      </c>
      <c r="BI79" s="92">
        <v>0</v>
      </c>
      <c r="BJ79" s="92">
        <v>0</v>
      </c>
      <c r="BK79" s="92">
        <v>0</v>
      </c>
      <c r="BL79" s="92">
        <v>0</v>
      </c>
      <c r="BM79" s="92">
        <v>0</v>
      </c>
      <c r="BN79" s="92">
        <v>0</v>
      </c>
      <c r="BO79" s="92">
        <v>0</v>
      </c>
      <c r="BP79" s="92">
        <v>0</v>
      </c>
      <c r="BQ79" s="92">
        <v>0</v>
      </c>
      <c r="BR79" s="92">
        <v>0</v>
      </c>
      <c r="BS79" s="92">
        <v>0</v>
      </c>
      <c r="BT79" s="92">
        <v>0</v>
      </c>
      <c r="BU79" s="92">
        <v>0</v>
      </c>
      <c r="BV79" s="92">
        <v>0</v>
      </c>
      <c r="BW79" s="92" t="s">
        <v>311</v>
      </c>
      <c r="BX79" s="92" t="s">
        <v>311</v>
      </c>
      <c r="BY79" s="92" t="s">
        <v>318</v>
      </c>
    </row>
    <row r="80" spans="1:77" hidden="1" x14ac:dyDescent="0.25">
      <c r="A80" s="87" t="s">
        <v>68</v>
      </c>
      <c r="B80" s="87" t="s">
        <v>311</v>
      </c>
      <c r="C80" s="87" t="s">
        <v>311</v>
      </c>
      <c r="D80" s="87" t="s">
        <v>311</v>
      </c>
      <c r="E80" s="87" t="s">
        <v>311</v>
      </c>
      <c r="F80" s="87">
        <v>0</v>
      </c>
      <c r="G80" s="87">
        <v>0</v>
      </c>
      <c r="H80" s="87">
        <v>0</v>
      </c>
      <c r="I80" s="87">
        <v>97335</v>
      </c>
      <c r="J80" s="87">
        <v>86151</v>
      </c>
      <c r="K80" s="92" t="s">
        <v>311</v>
      </c>
      <c r="L80" s="92" t="s">
        <v>311</v>
      </c>
      <c r="M80" s="92" t="s">
        <v>311</v>
      </c>
      <c r="N80" s="92" t="s">
        <v>311</v>
      </c>
      <c r="O80" s="92">
        <v>0</v>
      </c>
      <c r="P80" s="92">
        <v>0</v>
      </c>
      <c r="Q80" s="92">
        <v>0</v>
      </c>
      <c r="R80" s="87">
        <v>46</v>
      </c>
      <c r="S80" s="87">
        <v>46</v>
      </c>
      <c r="T80" s="87" t="s">
        <v>269</v>
      </c>
      <c r="U80" s="87" t="s">
        <v>288</v>
      </c>
      <c r="V80" t="s">
        <v>261</v>
      </c>
      <c r="W80" t="s">
        <v>311</v>
      </c>
      <c r="X80" t="s">
        <v>311</v>
      </c>
      <c r="Y80" t="s">
        <v>311</v>
      </c>
      <c r="Z80" t="s">
        <v>311</v>
      </c>
      <c r="AA80" t="s">
        <v>311</v>
      </c>
      <c r="AB80" t="s">
        <v>311</v>
      </c>
      <c r="AC80" t="s">
        <v>311</v>
      </c>
      <c r="AD80" s="92" t="s">
        <v>311</v>
      </c>
      <c r="AE80" s="92" t="s">
        <v>311</v>
      </c>
      <c r="AF80" s="92" t="s">
        <v>311</v>
      </c>
      <c r="AG80" s="92" t="s">
        <v>311</v>
      </c>
      <c r="AH80" s="92" t="s">
        <v>311</v>
      </c>
      <c r="AI80" s="92" t="s">
        <v>311</v>
      </c>
      <c r="AJ80" s="92" t="s">
        <v>311</v>
      </c>
      <c r="AK80">
        <v>0</v>
      </c>
      <c r="AL80">
        <v>0</v>
      </c>
      <c r="AM80">
        <v>0</v>
      </c>
      <c r="AN80">
        <v>0</v>
      </c>
      <c r="AO80">
        <v>0</v>
      </c>
      <c r="AP80">
        <v>262</v>
      </c>
      <c r="AQ80">
        <v>0</v>
      </c>
      <c r="AR80">
        <v>277</v>
      </c>
      <c r="AS80">
        <v>63</v>
      </c>
      <c r="AT80">
        <v>2552</v>
      </c>
      <c r="AU80">
        <v>128</v>
      </c>
      <c r="AV80">
        <v>2888</v>
      </c>
      <c r="AW80">
        <v>159</v>
      </c>
      <c r="AX80">
        <v>3320</v>
      </c>
      <c r="AY80">
        <v>273</v>
      </c>
      <c r="AZ80">
        <v>4481</v>
      </c>
      <c r="BA80">
        <v>338</v>
      </c>
      <c r="BB80">
        <v>4917</v>
      </c>
      <c r="BC80" t="s">
        <v>311</v>
      </c>
      <c r="BD80" t="s">
        <v>311</v>
      </c>
      <c r="BE80" s="92">
        <v>0</v>
      </c>
      <c r="BF80" s="92">
        <v>0</v>
      </c>
      <c r="BG80" s="92">
        <v>0</v>
      </c>
      <c r="BH80" s="92">
        <v>0</v>
      </c>
      <c r="BI80" s="92">
        <v>0</v>
      </c>
      <c r="BJ80" s="92">
        <v>3.0411718958572738E-3</v>
      </c>
      <c r="BK80" s="92">
        <v>0</v>
      </c>
      <c r="BL80" s="92">
        <v>3.2152847906582629E-3</v>
      </c>
      <c r="BM80" s="92">
        <v>6.4724919093851134E-4</v>
      </c>
      <c r="BN80" s="92">
        <v>2.9622407168808255E-2</v>
      </c>
      <c r="BO80" s="92">
        <v>1.3150459752401501E-3</v>
      </c>
      <c r="BP80" s="92">
        <v>3.3522536012350411E-2</v>
      </c>
      <c r="BQ80" s="92">
        <v>1.6335336723686238E-3</v>
      </c>
      <c r="BR80" s="92">
        <v>3.853698738261889E-2</v>
      </c>
      <c r="BS80" s="92">
        <v>2.8047464940668823E-3</v>
      </c>
      <c r="BT80" s="92">
        <v>5.2013325440215433E-2</v>
      </c>
      <c r="BU80" s="92">
        <v>3.4725432783685212E-3</v>
      </c>
      <c r="BV80" s="92">
        <v>5.7074206915764182E-2</v>
      </c>
      <c r="BW80" s="92" t="s">
        <v>311</v>
      </c>
      <c r="BX80" s="92" t="s">
        <v>311</v>
      </c>
      <c r="BY80" s="92" t="s">
        <v>318</v>
      </c>
    </row>
    <row r="81" spans="1:77" hidden="1" x14ac:dyDescent="0.25">
      <c r="A81" s="86" t="s">
        <v>70</v>
      </c>
      <c r="B81" s="86" t="s">
        <v>311</v>
      </c>
      <c r="C81" s="86" t="s">
        <v>311</v>
      </c>
      <c r="D81" s="86" t="s">
        <v>311</v>
      </c>
      <c r="E81" s="86" t="s">
        <v>311</v>
      </c>
      <c r="F81" s="86">
        <v>0</v>
      </c>
      <c r="G81" s="86">
        <v>0</v>
      </c>
      <c r="H81" s="86">
        <v>0</v>
      </c>
      <c r="I81" s="86">
        <v>2458</v>
      </c>
      <c r="J81" s="86">
        <v>1</v>
      </c>
      <c r="K81" s="93" t="s">
        <v>311</v>
      </c>
      <c r="L81" s="93" t="s">
        <v>311</v>
      </c>
      <c r="M81" s="93" t="s">
        <v>311</v>
      </c>
      <c r="N81" s="93" t="s">
        <v>311</v>
      </c>
      <c r="O81" s="93">
        <v>0</v>
      </c>
      <c r="P81" s="93">
        <v>0</v>
      </c>
      <c r="Q81" s="93">
        <v>0</v>
      </c>
      <c r="R81" s="86">
        <v>46</v>
      </c>
      <c r="S81" s="86">
        <v>46</v>
      </c>
      <c r="T81" s="86" t="s">
        <v>284</v>
      </c>
      <c r="U81" s="86" t="s">
        <v>285</v>
      </c>
      <c r="V81" t="s">
        <v>262</v>
      </c>
      <c r="W81">
        <v>0</v>
      </c>
      <c r="X81">
        <v>0</v>
      </c>
      <c r="Y81">
        <v>0</v>
      </c>
      <c r="Z81">
        <v>0</v>
      </c>
      <c r="AA81">
        <v>0</v>
      </c>
      <c r="AB81">
        <v>0</v>
      </c>
      <c r="AC81">
        <v>0</v>
      </c>
      <c r="AD81" s="92">
        <v>0</v>
      </c>
      <c r="AE81" s="92">
        <v>0</v>
      </c>
      <c r="AF81" s="92">
        <v>0</v>
      </c>
      <c r="AG81" s="92">
        <v>0</v>
      </c>
      <c r="AH81" s="92">
        <v>0</v>
      </c>
      <c r="AI81" s="92">
        <v>0</v>
      </c>
      <c r="AJ81" s="92">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s="92">
        <v>0</v>
      </c>
      <c r="BF81" s="92">
        <v>0</v>
      </c>
      <c r="BG81" s="92">
        <v>0</v>
      </c>
      <c r="BH81" s="92">
        <v>0</v>
      </c>
      <c r="BI81" s="92">
        <v>0</v>
      </c>
      <c r="BJ81" s="92">
        <v>0</v>
      </c>
      <c r="BK81" s="92">
        <v>0</v>
      </c>
      <c r="BL81" s="92">
        <v>0</v>
      </c>
      <c r="BM81" s="92">
        <v>0</v>
      </c>
      <c r="BN81" s="92">
        <v>0</v>
      </c>
      <c r="BO81" s="92">
        <v>0</v>
      </c>
      <c r="BP81" s="92">
        <v>0</v>
      </c>
      <c r="BQ81" s="92">
        <v>0</v>
      </c>
      <c r="BR81" s="92">
        <v>0</v>
      </c>
      <c r="BS81" s="92">
        <v>0</v>
      </c>
      <c r="BT81" s="92">
        <v>0</v>
      </c>
      <c r="BU81" s="92">
        <v>0</v>
      </c>
      <c r="BV81" s="92">
        <v>0</v>
      </c>
      <c r="BW81" s="92">
        <v>0</v>
      </c>
      <c r="BX81" s="92">
        <v>0</v>
      </c>
      <c r="BY81" s="92" t="s">
        <v>317</v>
      </c>
    </row>
    <row r="82" spans="1:77" hidden="1" x14ac:dyDescent="0.25">
      <c r="A82" s="87" t="s">
        <v>71</v>
      </c>
      <c r="B82" s="87" t="s">
        <v>311</v>
      </c>
      <c r="C82" s="87" t="s">
        <v>311</v>
      </c>
      <c r="D82" s="87" t="s">
        <v>311</v>
      </c>
      <c r="E82" s="87" t="s">
        <v>311</v>
      </c>
      <c r="F82" s="87">
        <v>876</v>
      </c>
      <c r="G82" s="87">
        <v>208</v>
      </c>
      <c r="H82" s="87">
        <v>1084</v>
      </c>
      <c r="I82" s="87">
        <v>6650</v>
      </c>
      <c r="J82" s="87">
        <v>761</v>
      </c>
      <c r="K82" s="92" t="s">
        <v>311</v>
      </c>
      <c r="L82" s="92" t="s">
        <v>311</v>
      </c>
      <c r="M82" s="92" t="s">
        <v>311</v>
      </c>
      <c r="N82" s="92" t="s">
        <v>311</v>
      </c>
      <c r="O82" s="92">
        <v>0.13172932330827067</v>
      </c>
      <c r="P82" s="92">
        <v>0.27332457293035478</v>
      </c>
      <c r="Q82" s="92">
        <v>0.14626905950613953</v>
      </c>
      <c r="R82" s="87">
        <v>20</v>
      </c>
      <c r="S82" s="87">
        <v>15</v>
      </c>
      <c r="T82" s="87" t="s">
        <v>284</v>
      </c>
      <c r="U82" s="87" t="s">
        <v>285</v>
      </c>
      <c r="V82" t="s">
        <v>262</v>
      </c>
      <c r="W82">
        <v>124</v>
      </c>
      <c r="X82">
        <v>16</v>
      </c>
      <c r="Y82">
        <v>162</v>
      </c>
      <c r="Z82">
        <v>65</v>
      </c>
      <c r="AA82">
        <v>0</v>
      </c>
      <c r="AB82">
        <v>0</v>
      </c>
      <c r="AC82">
        <v>367</v>
      </c>
      <c r="AD82" s="92">
        <v>1.8646616541353384E-2</v>
      </c>
      <c r="AE82" s="92">
        <v>2.1024967148488831E-2</v>
      </c>
      <c r="AF82" s="92">
        <v>2.4360902255639097E-2</v>
      </c>
      <c r="AG82" s="92">
        <v>8.5413929040735873E-2</v>
      </c>
      <c r="AH82" s="92">
        <v>0</v>
      </c>
      <c r="AI82" s="92">
        <v>0</v>
      </c>
      <c r="AJ82" s="92">
        <v>4.9520982323573069E-2</v>
      </c>
      <c r="AK82">
        <v>0</v>
      </c>
      <c r="AL82">
        <v>0</v>
      </c>
      <c r="AM82">
        <v>0</v>
      </c>
      <c r="AN82">
        <v>0</v>
      </c>
      <c r="AO82">
        <v>91</v>
      </c>
      <c r="AP82">
        <v>0</v>
      </c>
      <c r="AQ82">
        <v>122</v>
      </c>
      <c r="AR82">
        <v>0</v>
      </c>
      <c r="AS82">
        <v>459</v>
      </c>
      <c r="AT82">
        <v>28</v>
      </c>
      <c r="AU82">
        <v>577</v>
      </c>
      <c r="AV82">
        <v>35</v>
      </c>
      <c r="AW82">
        <v>606</v>
      </c>
      <c r="AX82">
        <v>45</v>
      </c>
      <c r="AY82">
        <v>640</v>
      </c>
      <c r="AZ82">
        <v>49</v>
      </c>
      <c r="BA82">
        <v>657</v>
      </c>
      <c r="BB82">
        <v>57</v>
      </c>
      <c r="BC82" t="s">
        <v>311</v>
      </c>
      <c r="BD82" t="s">
        <v>311</v>
      </c>
      <c r="BE82" s="92">
        <v>0</v>
      </c>
      <c r="BF82" s="92">
        <v>0</v>
      </c>
      <c r="BG82" s="92">
        <v>0</v>
      </c>
      <c r="BH82" s="92">
        <v>0</v>
      </c>
      <c r="BI82" s="92">
        <v>1.368421052631579E-2</v>
      </c>
      <c r="BJ82" s="92">
        <v>0</v>
      </c>
      <c r="BK82" s="92">
        <v>1.8345864661654134E-2</v>
      </c>
      <c r="BL82" s="92">
        <v>0</v>
      </c>
      <c r="BM82" s="92">
        <v>6.9022556390977444E-2</v>
      </c>
      <c r="BN82" s="92">
        <v>3.6793692509855452E-2</v>
      </c>
      <c r="BO82" s="92">
        <v>8.676691729323309E-2</v>
      </c>
      <c r="BP82" s="92">
        <v>4.5992115637319315E-2</v>
      </c>
      <c r="BQ82" s="92">
        <v>9.1127819548872183E-2</v>
      </c>
      <c r="BR82" s="92">
        <v>5.9132720105124839E-2</v>
      </c>
      <c r="BS82" s="92">
        <v>9.6240601503759404E-2</v>
      </c>
      <c r="BT82" s="92">
        <v>6.4388961892247049E-2</v>
      </c>
      <c r="BU82" s="92">
        <v>9.8796992481203008E-2</v>
      </c>
      <c r="BV82" s="92">
        <v>7.4901445466491454E-2</v>
      </c>
      <c r="BW82" s="92" t="s">
        <v>311</v>
      </c>
      <c r="BX82" s="92" t="s">
        <v>311</v>
      </c>
      <c r="BY82" s="92" t="s">
        <v>317</v>
      </c>
    </row>
    <row r="83" spans="1:77" hidden="1" x14ac:dyDescent="0.25">
      <c r="A83" s="86" t="s">
        <v>72</v>
      </c>
      <c r="B83" s="86" t="s">
        <v>311</v>
      </c>
      <c r="C83" s="86" t="s">
        <v>311</v>
      </c>
      <c r="D83" s="86" t="s">
        <v>311</v>
      </c>
      <c r="E83" s="86" t="s">
        <v>311</v>
      </c>
      <c r="F83" s="86">
        <v>0</v>
      </c>
      <c r="G83" s="86">
        <v>0</v>
      </c>
      <c r="H83" s="86">
        <v>0</v>
      </c>
      <c r="I83" s="86">
        <v>1059</v>
      </c>
      <c r="J83" s="86">
        <v>553</v>
      </c>
      <c r="K83" s="93" t="s">
        <v>311</v>
      </c>
      <c r="L83" s="93" t="s">
        <v>311</v>
      </c>
      <c r="M83" s="93" t="s">
        <v>311</v>
      </c>
      <c r="N83" s="93" t="s">
        <v>311</v>
      </c>
      <c r="O83" s="93">
        <v>0</v>
      </c>
      <c r="P83" s="93">
        <v>0</v>
      </c>
      <c r="Q83" s="93">
        <v>0</v>
      </c>
      <c r="R83" s="86">
        <v>46</v>
      </c>
      <c r="S83" s="86">
        <v>46</v>
      </c>
      <c r="T83" s="86" t="s">
        <v>284</v>
      </c>
      <c r="U83" s="86" t="s">
        <v>286</v>
      </c>
      <c r="V83" t="s">
        <v>262</v>
      </c>
      <c r="W83">
        <v>0</v>
      </c>
      <c r="X83">
        <v>0</v>
      </c>
      <c r="Y83">
        <v>1</v>
      </c>
      <c r="Z83">
        <v>0</v>
      </c>
      <c r="AA83">
        <v>0</v>
      </c>
      <c r="AB83">
        <v>0</v>
      </c>
      <c r="AC83">
        <v>1</v>
      </c>
      <c r="AD83" s="92">
        <v>0</v>
      </c>
      <c r="AE83" s="92">
        <v>0</v>
      </c>
      <c r="AF83" s="92">
        <v>9.4428706326723328E-4</v>
      </c>
      <c r="AG83" s="92">
        <v>0</v>
      </c>
      <c r="AH83" s="92">
        <v>0</v>
      </c>
      <c r="AI83" s="92">
        <v>0</v>
      </c>
      <c r="AJ83" s="92">
        <v>6.2034739454094293E-4</v>
      </c>
      <c r="AK83">
        <v>0</v>
      </c>
      <c r="AL83">
        <v>0</v>
      </c>
      <c r="AM83">
        <v>0</v>
      </c>
      <c r="AN83">
        <v>0</v>
      </c>
      <c r="AO83">
        <v>0</v>
      </c>
      <c r="AP83">
        <v>0</v>
      </c>
      <c r="AQ83">
        <v>0</v>
      </c>
      <c r="AR83">
        <v>0</v>
      </c>
      <c r="AS83">
        <v>0</v>
      </c>
      <c r="AT83">
        <v>0</v>
      </c>
      <c r="AU83">
        <v>0</v>
      </c>
      <c r="AV83">
        <v>0</v>
      </c>
      <c r="AW83">
        <v>0</v>
      </c>
      <c r="AX83">
        <v>0</v>
      </c>
      <c r="AY83">
        <v>1</v>
      </c>
      <c r="AZ83">
        <v>0</v>
      </c>
      <c r="BA83">
        <v>1</v>
      </c>
      <c r="BB83">
        <v>0</v>
      </c>
      <c r="BC83">
        <v>0</v>
      </c>
      <c r="BD83">
        <v>0</v>
      </c>
      <c r="BE83" s="92">
        <v>0</v>
      </c>
      <c r="BF83" s="92">
        <v>0</v>
      </c>
      <c r="BG83" s="92">
        <v>0</v>
      </c>
      <c r="BH83" s="92">
        <v>0</v>
      </c>
      <c r="BI83" s="92">
        <v>0</v>
      </c>
      <c r="BJ83" s="92">
        <v>0</v>
      </c>
      <c r="BK83" s="92">
        <v>0</v>
      </c>
      <c r="BL83" s="92">
        <v>0</v>
      </c>
      <c r="BM83" s="92">
        <v>0</v>
      </c>
      <c r="BN83" s="92">
        <v>0</v>
      </c>
      <c r="BO83" s="92">
        <v>0</v>
      </c>
      <c r="BP83" s="92">
        <v>0</v>
      </c>
      <c r="BQ83" s="92">
        <v>0</v>
      </c>
      <c r="BR83" s="92">
        <v>0</v>
      </c>
      <c r="BS83" s="92">
        <v>9.4428706326723328E-4</v>
      </c>
      <c r="BT83" s="92">
        <v>0</v>
      </c>
      <c r="BU83" s="92">
        <v>9.4428706326723328E-4</v>
      </c>
      <c r="BV83" s="92">
        <v>0</v>
      </c>
      <c r="BW83" s="92">
        <v>0</v>
      </c>
      <c r="BX83" s="92">
        <v>0</v>
      </c>
      <c r="BY83" s="92" t="s">
        <v>317</v>
      </c>
    </row>
    <row r="84" spans="1:77" hidden="1" x14ac:dyDescent="0.25">
      <c r="A84" s="87" t="s">
        <v>132</v>
      </c>
      <c r="B84" s="87">
        <v>1</v>
      </c>
      <c r="C84" s="87">
        <v>0</v>
      </c>
      <c r="D84" s="87">
        <v>0</v>
      </c>
      <c r="E84" s="87">
        <v>0</v>
      </c>
      <c r="F84" s="87">
        <v>0</v>
      </c>
      <c r="G84" s="87">
        <v>0</v>
      </c>
      <c r="H84" s="87">
        <v>0</v>
      </c>
      <c r="I84" s="87">
        <v>5904</v>
      </c>
      <c r="J84" s="87">
        <v>1860</v>
      </c>
      <c r="K84" s="92">
        <v>1.6937669376693767E-4</v>
      </c>
      <c r="L84" s="92">
        <v>0</v>
      </c>
      <c r="M84" s="92">
        <v>0</v>
      </c>
      <c r="N84" s="92">
        <v>0</v>
      </c>
      <c r="O84" s="92">
        <v>0</v>
      </c>
      <c r="P84" s="92">
        <v>0</v>
      </c>
      <c r="Q84" s="92">
        <v>0</v>
      </c>
      <c r="R84" s="87">
        <v>46</v>
      </c>
      <c r="S84" s="87">
        <v>46</v>
      </c>
      <c r="T84" s="87" t="s">
        <v>284</v>
      </c>
      <c r="U84" s="87" t="s">
        <v>286</v>
      </c>
      <c r="V84" t="s">
        <v>262</v>
      </c>
      <c r="W84">
        <v>243</v>
      </c>
      <c r="X84">
        <v>43</v>
      </c>
      <c r="Y84">
        <v>3472</v>
      </c>
      <c r="Z84">
        <v>1650</v>
      </c>
      <c r="AA84">
        <v>0</v>
      </c>
      <c r="AB84">
        <v>0</v>
      </c>
      <c r="AC84">
        <v>5408</v>
      </c>
      <c r="AD84" s="92">
        <v>4.1158536585365856E-2</v>
      </c>
      <c r="AE84" s="92">
        <v>2.3118279569892472E-2</v>
      </c>
      <c r="AF84" s="92">
        <v>0.58807588075880757</v>
      </c>
      <c r="AG84" s="92">
        <v>0.88709677419354838</v>
      </c>
      <c r="AH84" s="92">
        <v>0</v>
      </c>
      <c r="AI84" s="92">
        <v>0</v>
      </c>
      <c r="AJ84" s="92">
        <v>0.69654817104585265</v>
      </c>
      <c r="AK84">
        <v>0</v>
      </c>
      <c r="AL84">
        <v>0</v>
      </c>
      <c r="AM84">
        <v>0</v>
      </c>
      <c r="AN84">
        <v>0</v>
      </c>
      <c r="AO84">
        <v>10</v>
      </c>
      <c r="AP84">
        <v>3</v>
      </c>
      <c r="AQ84">
        <v>18</v>
      </c>
      <c r="AR84">
        <v>6</v>
      </c>
      <c r="AS84">
        <v>113</v>
      </c>
      <c r="AT84">
        <v>30</v>
      </c>
      <c r="AU84">
        <v>210</v>
      </c>
      <c r="AV84">
        <v>73</v>
      </c>
      <c r="AW84">
        <v>310</v>
      </c>
      <c r="AX84">
        <v>87</v>
      </c>
      <c r="AY84">
        <v>586</v>
      </c>
      <c r="AZ84">
        <v>133</v>
      </c>
      <c r="BA84">
        <v>730</v>
      </c>
      <c r="BB84">
        <v>149</v>
      </c>
      <c r="BC84" t="s">
        <v>311</v>
      </c>
      <c r="BD84" t="s">
        <v>311</v>
      </c>
      <c r="BE84" s="92">
        <v>0</v>
      </c>
      <c r="BF84" s="92">
        <v>0</v>
      </c>
      <c r="BG84" s="92">
        <v>0</v>
      </c>
      <c r="BH84" s="92">
        <v>0</v>
      </c>
      <c r="BI84" s="92">
        <v>1.6937669376693768E-3</v>
      </c>
      <c r="BJ84" s="92">
        <v>1.6129032258064516E-3</v>
      </c>
      <c r="BK84" s="92">
        <v>3.0487804878048782E-3</v>
      </c>
      <c r="BL84" s="92">
        <v>3.2258064516129032E-3</v>
      </c>
      <c r="BM84" s="92">
        <v>1.9139566395663957E-2</v>
      </c>
      <c r="BN84" s="92">
        <v>1.6129032258064516E-2</v>
      </c>
      <c r="BO84" s="92">
        <v>3.556910569105691E-2</v>
      </c>
      <c r="BP84" s="92">
        <v>3.9247311827956988E-2</v>
      </c>
      <c r="BQ84" s="92">
        <v>5.2506775067750679E-2</v>
      </c>
      <c r="BR84" s="92">
        <v>4.6774193548387098E-2</v>
      </c>
      <c r="BS84" s="92">
        <v>9.9254742547425473E-2</v>
      </c>
      <c r="BT84" s="92">
        <v>7.1505376344086019E-2</v>
      </c>
      <c r="BU84" s="92">
        <v>0.12364498644986451</v>
      </c>
      <c r="BV84" s="92">
        <v>8.0107526881720431E-2</v>
      </c>
      <c r="BW84" s="92" t="s">
        <v>311</v>
      </c>
      <c r="BX84" s="92" t="s">
        <v>311</v>
      </c>
      <c r="BY84" s="92" t="s">
        <v>317</v>
      </c>
    </row>
    <row r="85" spans="1:77" hidden="1" x14ac:dyDescent="0.25">
      <c r="A85" s="86" t="s">
        <v>73</v>
      </c>
      <c r="B85" s="86" t="s">
        <v>311</v>
      </c>
      <c r="C85" s="86" t="s">
        <v>311</v>
      </c>
      <c r="D85" s="86" t="s">
        <v>311</v>
      </c>
      <c r="E85" s="86" t="s">
        <v>311</v>
      </c>
      <c r="F85" s="86">
        <v>0</v>
      </c>
      <c r="G85" s="86">
        <v>0</v>
      </c>
      <c r="H85" s="86">
        <v>0</v>
      </c>
      <c r="I85" s="86">
        <v>210</v>
      </c>
      <c r="J85" s="86">
        <v>117</v>
      </c>
      <c r="K85" s="93" t="s">
        <v>311</v>
      </c>
      <c r="L85" s="93" t="s">
        <v>311</v>
      </c>
      <c r="M85" s="93" t="s">
        <v>311</v>
      </c>
      <c r="N85" s="93" t="s">
        <v>311</v>
      </c>
      <c r="O85" s="93">
        <v>0</v>
      </c>
      <c r="P85" s="93">
        <v>0</v>
      </c>
      <c r="Q85" s="93">
        <v>0</v>
      </c>
      <c r="R85" s="86">
        <v>46</v>
      </c>
      <c r="S85" s="86">
        <v>46</v>
      </c>
      <c r="T85" s="86" t="s">
        <v>284</v>
      </c>
      <c r="U85" s="86" t="s">
        <v>285</v>
      </c>
      <c r="V85" t="s">
        <v>262</v>
      </c>
      <c r="W85">
        <v>0</v>
      </c>
      <c r="X85">
        <v>0</v>
      </c>
      <c r="Y85">
        <v>0</v>
      </c>
      <c r="Z85">
        <v>0</v>
      </c>
      <c r="AA85">
        <v>0</v>
      </c>
      <c r="AB85">
        <v>0</v>
      </c>
      <c r="AC85">
        <v>0</v>
      </c>
      <c r="AD85" s="92">
        <v>0</v>
      </c>
      <c r="AE85" s="92">
        <v>0</v>
      </c>
      <c r="AF85" s="92">
        <v>0</v>
      </c>
      <c r="AG85" s="92">
        <v>0</v>
      </c>
      <c r="AH85" s="92">
        <v>0</v>
      </c>
      <c r="AI85" s="92">
        <v>0</v>
      </c>
      <c r="AJ85" s="92">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s="92">
        <v>0</v>
      </c>
      <c r="BF85" s="92">
        <v>0</v>
      </c>
      <c r="BG85" s="92">
        <v>0</v>
      </c>
      <c r="BH85" s="92">
        <v>0</v>
      </c>
      <c r="BI85" s="92">
        <v>0</v>
      </c>
      <c r="BJ85" s="92">
        <v>0</v>
      </c>
      <c r="BK85" s="92">
        <v>0</v>
      </c>
      <c r="BL85" s="92">
        <v>0</v>
      </c>
      <c r="BM85" s="92">
        <v>0</v>
      </c>
      <c r="BN85" s="92">
        <v>0</v>
      </c>
      <c r="BO85" s="92">
        <v>0</v>
      </c>
      <c r="BP85" s="92">
        <v>0</v>
      </c>
      <c r="BQ85" s="92">
        <v>0</v>
      </c>
      <c r="BR85" s="92">
        <v>0</v>
      </c>
      <c r="BS85" s="92">
        <v>0</v>
      </c>
      <c r="BT85" s="92">
        <v>0</v>
      </c>
      <c r="BU85" s="92">
        <v>0</v>
      </c>
      <c r="BV85" s="92">
        <v>0</v>
      </c>
      <c r="BW85" s="92">
        <v>0</v>
      </c>
      <c r="BX85" s="92">
        <v>0</v>
      </c>
      <c r="BY85" s="92" t="s">
        <v>317</v>
      </c>
    </row>
    <row r="86" spans="1:77" hidden="1" x14ac:dyDescent="0.25">
      <c r="A86" s="87" t="s">
        <v>74</v>
      </c>
      <c r="B86" s="87" t="s">
        <v>311</v>
      </c>
      <c r="C86" s="87" t="s">
        <v>311</v>
      </c>
      <c r="D86" s="87" t="s">
        <v>311</v>
      </c>
      <c r="E86" s="87" t="s">
        <v>311</v>
      </c>
      <c r="F86" s="87">
        <v>0</v>
      </c>
      <c r="G86" s="87">
        <v>0</v>
      </c>
      <c r="H86" s="87">
        <v>0</v>
      </c>
      <c r="I86" s="87">
        <v>18870</v>
      </c>
      <c r="J86" s="87">
        <v>4214</v>
      </c>
      <c r="K86" s="92" t="s">
        <v>311</v>
      </c>
      <c r="L86" s="92" t="s">
        <v>311</v>
      </c>
      <c r="M86" s="92" t="s">
        <v>311</v>
      </c>
      <c r="N86" s="92" t="s">
        <v>311</v>
      </c>
      <c r="O86" s="92">
        <v>0</v>
      </c>
      <c r="P86" s="92">
        <v>0</v>
      </c>
      <c r="Q86" s="92">
        <v>0</v>
      </c>
      <c r="R86" s="87">
        <v>46</v>
      </c>
      <c r="S86" s="87">
        <v>46</v>
      </c>
      <c r="T86" s="87" t="s">
        <v>284</v>
      </c>
      <c r="U86" s="87" t="s">
        <v>288</v>
      </c>
      <c r="V86" t="s">
        <v>262</v>
      </c>
      <c r="W86">
        <v>0</v>
      </c>
      <c r="X86">
        <v>0</v>
      </c>
      <c r="Y86">
        <v>0</v>
      </c>
      <c r="Z86">
        <v>0</v>
      </c>
      <c r="AA86">
        <v>0</v>
      </c>
      <c r="AB86">
        <v>0</v>
      </c>
      <c r="AC86">
        <v>0</v>
      </c>
      <c r="AD86" s="92">
        <v>0</v>
      </c>
      <c r="AE86" s="92">
        <v>0</v>
      </c>
      <c r="AF86" s="92">
        <v>0</v>
      </c>
      <c r="AG86" s="92">
        <v>0</v>
      </c>
      <c r="AH86" s="92">
        <v>0</v>
      </c>
      <c r="AI86" s="92">
        <v>0</v>
      </c>
      <c r="AJ86" s="92">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s="92">
        <v>0</v>
      </c>
      <c r="BF86" s="92">
        <v>0</v>
      </c>
      <c r="BG86" s="92">
        <v>0</v>
      </c>
      <c r="BH86" s="92">
        <v>0</v>
      </c>
      <c r="BI86" s="92">
        <v>0</v>
      </c>
      <c r="BJ86" s="92">
        <v>0</v>
      </c>
      <c r="BK86" s="92">
        <v>0</v>
      </c>
      <c r="BL86" s="92">
        <v>0</v>
      </c>
      <c r="BM86" s="92">
        <v>0</v>
      </c>
      <c r="BN86" s="92">
        <v>0</v>
      </c>
      <c r="BO86" s="92">
        <v>0</v>
      </c>
      <c r="BP86" s="92">
        <v>0</v>
      </c>
      <c r="BQ86" s="92">
        <v>0</v>
      </c>
      <c r="BR86" s="92">
        <v>0</v>
      </c>
      <c r="BS86" s="92">
        <v>0</v>
      </c>
      <c r="BT86" s="92">
        <v>0</v>
      </c>
      <c r="BU86" s="92">
        <v>0</v>
      </c>
      <c r="BV86" s="92">
        <v>0</v>
      </c>
      <c r="BW86" s="92">
        <v>0</v>
      </c>
      <c r="BX86" s="92">
        <v>0</v>
      </c>
      <c r="BY86" s="92" t="s">
        <v>318</v>
      </c>
    </row>
    <row r="87" spans="1:77" hidden="1" x14ac:dyDescent="0.25">
      <c r="A87" s="86" t="s">
        <v>75</v>
      </c>
      <c r="B87" s="86" t="s">
        <v>311</v>
      </c>
      <c r="C87" s="86" t="s">
        <v>311</v>
      </c>
      <c r="D87" s="86" t="s">
        <v>311</v>
      </c>
      <c r="E87" s="86" t="s">
        <v>311</v>
      </c>
      <c r="F87" s="86">
        <v>0</v>
      </c>
      <c r="G87" s="86">
        <v>0</v>
      </c>
      <c r="H87" s="86">
        <v>0</v>
      </c>
      <c r="I87" s="86">
        <v>3974</v>
      </c>
      <c r="J87" s="86">
        <v>594</v>
      </c>
      <c r="K87" s="93" t="s">
        <v>311</v>
      </c>
      <c r="L87" s="93" t="s">
        <v>311</v>
      </c>
      <c r="M87" s="93" t="s">
        <v>311</v>
      </c>
      <c r="N87" s="93" t="s">
        <v>311</v>
      </c>
      <c r="O87" s="93">
        <v>0</v>
      </c>
      <c r="P87" s="93">
        <v>0</v>
      </c>
      <c r="Q87" s="93">
        <v>0</v>
      </c>
      <c r="R87" s="86">
        <v>46</v>
      </c>
      <c r="S87" s="86">
        <v>46</v>
      </c>
      <c r="T87" s="86" t="s">
        <v>284</v>
      </c>
      <c r="U87" s="86" t="s">
        <v>286</v>
      </c>
      <c r="V87" t="s">
        <v>262</v>
      </c>
      <c r="W87">
        <v>1554</v>
      </c>
      <c r="X87">
        <v>119</v>
      </c>
      <c r="Y87">
        <v>461</v>
      </c>
      <c r="Z87">
        <v>12</v>
      </c>
      <c r="AA87">
        <v>0</v>
      </c>
      <c r="AB87">
        <v>0</v>
      </c>
      <c r="AC87">
        <v>2146</v>
      </c>
      <c r="AD87" s="92">
        <v>0.39104177151484648</v>
      </c>
      <c r="AE87" s="92">
        <v>0.20033670033670034</v>
      </c>
      <c r="AF87" s="92">
        <v>0.11600402617010569</v>
      </c>
      <c r="AG87" s="92">
        <v>2.0202020202020204E-2</v>
      </c>
      <c r="AH87" s="92">
        <v>0</v>
      </c>
      <c r="AI87" s="92">
        <v>0</v>
      </c>
      <c r="AJ87" s="92">
        <v>0.46978984238178634</v>
      </c>
      <c r="AK87">
        <v>0</v>
      </c>
      <c r="AL87">
        <v>0</v>
      </c>
      <c r="AM87">
        <v>26</v>
      </c>
      <c r="AN87">
        <v>1</v>
      </c>
      <c r="AO87">
        <v>998</v>
      </c>
      <c r="AP87">
        <v>5</v>
      </c>
      <c r="AQ87">
        <v>1272</v>
      </c>
      <c r="AR87">
        <v>8</v>
      </c>
      <c r="AS87">
        <v>1727</v>
      </c>
      <c r="AT87">
        <v>19</v>
      </c>
      <c r="AU87">
        <v>1980</v>
      </c>
      <c r="AV87">
        <v>28</v>
      </c>
      <c r="AW87">
        <v>2217</v>
      </c>
      <c r="AX87">
        <v>33</v>
      </c>
      <c r="AY87">
        <v>2551</v>
      </c>
      <c r="AZ87">
        <v>41</v>
      </c>
      <c r="BA87">
        <v>2747</v>
      </c>
      <c r="BB87">
        <v>84</v>
      </c>
      <c r="BC87" t="s">
        <v>311</v>
      </c>
      <c r="BD87" t="s">
        <v>311</v>
      </c>
      <c r="BE87" s="92">
        <v>0</v>
      </c>
      <c r="BF87" s="92">
        <v>0</v>
      </c>
      <c r="BG87" s="92">
        <v>6.5425264217413188E-3</v>
      </c>
      <c r="BH87" s="92">
        <v>1.6835016835016834E-3</v>
      </c>
      <c r="BI87" s="92">
        <v>0.25113236034222447</v>
      </c>
      <c r="BJ87" s="92">
        <v>8.4175084175084174E-3</v>
      </c>
      <c r="BK87" s="92">
        <v>0.32008052340211374</v>
      </c>
      <c r="BL87" s="92">
        <v>1.3468013468013467E-2</v>
      </c>
      <c r="BM87" s="92">
        <v>0.43457473578258682</v>
      </c>
      <c r="BN87" s="92">
        <v>3.1986531986531987E-2</v>
      </c>
      <c r="BO87" s="92">
        <v>0.49823855057876193</v>
      </c>
      <c r="BP87" s="92">
        <v>4.7138047138047139E-2</v>
      </c>
      <c r="BQ87" s="92">
        <v>0.55787619526925014</v>
      </c>
      <c r="BR87" s="92">
        <v>5.5555555555555552E-2</v>
      </c>
      <c r="BS87" s="92">
        <v>0.64192249622546549</v>
      </c>
      <c r="BT87" s="92">
        <v>6.9023569023569029E-2</v>
      </c>
      <c r="BU87" s="92">
        <v>0.6912430800201308</v>
      </c>
      <c r="BV87" s="92">
        <v>0.14141414141414141</v>
      </c>
      <c r="BW87" s="92" t="s">
        <v>311</v>
      </c>
      <c r="BX87" s="92" t="s">
        <v>311</v>
      </c>
      <c r="BY87" s="92" t="s">
        <v>317</v>
      </c>
    </row>
    <row r="88" spans="1:77" hidden="1" x14ac:dyDescent="0.25">
      <c r="A88" s="87" t="s">
        <v>76</v>
      </c>
      <c r="B88" s="87" t="s">
        <v>311</v>
      </c>
      <c r="C88" s="87" t="s">
        <v>311</v>
      </c>
      <c r="D88" s="87" t="s">
        <v>311</v>
      </c>
      <c r="E88" s="87" t="s">
        <v>311</v>
      </c>
      <c r="F88" s="87">
        <v>0</v>
      </c>
      <c r="G88" s="87">
        <v>0</v>
      </c>
      <c r="H88" s="87">
        <v>0</v>
      </c>
      <c r="I88" s="87">
        <v>6732</v>
      </c>
      <c r="J88" s="87">
        <v>2094</v>
      </c>
      <c r="K88" s="92" t="s">
        <v>311</v>
      </c>
      <c r="L88" s="92" t="s">
        <v>311</v>
      </c>
      <c r="M88" s="92" t="s">
        <v>311</v>
      </c>
      <c r="N88" s="92" t="s">
        <v>311</v>
      </c>
      <c r="O88" s="92">
        <v>0</v>
      </c>
      <c r="P88" s="92">
        <v>0</v>
      </c>
      <c r="Q88" s="92">
        <v>0</v>
      </c>
      <c r="R88" s="87">
        <v>46</v>
      </c>
      <c r="S88" s="87">
        <v>46</v>
      </c>
      <c r="T88" s="87" t="s">
        <v>284</v>
      </c>
      <c r="U88" s="87" t="s">
        <v>288</v>
      </c>
      <c r="V88" t="s">
        <v>262</v>
      </c>
      <c r="W88">
        <v>1</v>
      </c>
      <c r="X88">
        <v>20</v>
      </c>
      <c r="Y88">
        <v>0</v>
      </c>
      <c r="Z88">
        <v>0</v>
      </c>
      <c r="AA88">
        <v>6731</v>
      </c>
      <c r="AB88">
        <v>1948</v>
      </c>
      <c r="AC88">
        <v>8700</v>
      </c>
      <c r="AD88" s="92">
        <v>1.4854426619132502E-4</v>
      </c>
      <c r="AE88" s="92">
        <v>9.5510983763132766E-3</v>
      </c>
      <c r="AF88" s="92">
        <v>0</v>
      </c>
      <c r="AG88" s="92">
        <v>0</v>
      </c>
      <c r="AH88" s="92">
        <v>0.99985145573380863</v>
      </c>
      <c r="AI88" s="92">
        <v>0.93027698185291308</v>
      </c>
      <c r="AJ88" s="92">
        <v>0.98572399728076143</v>
      </c>
      <c r="AK88">
        <v>0</v>
      </c>
      <c r="AL88">
        <v>0</v>
      </c>
      <c r="AM88">
        <v>0</v>
      </c>
      <c r="AN88">
        <v>0</v>
      </c>
      <c r="AO88">
        <v>0</v>
      </c>
      <c r="AP88">
        <v>0</v>
      </c>
      <c r="AQ88">
        <v>0</v>
      </c>
      <c r="AR88">
        <v>0</v>
      </c>
      <c r="AS88">
        <v>6732</v>
      </c>
      <c r="AT88">
        <v>2094</v>
      </c>
      <c r="AU88">
        <v>6732</v>
      </c>
      <c r="AV88">
        <v>2094</v>
      </c>
      <c r="AW88">
        <v>6732</v>
      </c>
      <c r="AX88">
        <v>2094</v>
      </c>
      <c r="AY88">
        <v>6732</v>
      </c>
      <c r="AZ88">
        <v>2094</v>
      </c>
      <c r="BA88">
        <v>6732</v>
      </c>
      <c r="BB88">
        <v>2094</v>
      </c>
      <c r="BC88" t="s">
        <v>311</v>
      </c>
      <c r="BD88" t="s">
        <v>311</v>
      </c>
      <c r="BE88" s="92">
        <v>0</v>
      </c>
      <c r="BF88" s="92">
        <v>0</v>
      </c>
      <c r="BG88" s="92">
        <v>0</v>
      </c>
      <c r="BH88" s="92">
        <v>0</v>
      </c>
      <c r="BI88" s="92">
        <v>0</v>
      </c>
      <c r="BJ88" s="92">
        <v>0</v>
      </c>
      <c r="BK88" s="92">
        <v>0</v>
      </c>
      <c r="BL88" s="92">
        <v>0</v>
      </c>
      <c r="BM88" s="92">
        <v>1</v>
      </c>
      <c r="BN88" s="92">
        <v>1</v>
      </c>
      <c r="BO88" s="92">
        <v>1</v>
      </c>
      <c r="BP88" s="92">
        <v>1</v>
      </c>
      <c r="BQ88" s="92">
        <v>1</v>
      </c>
      <c r="BR88" s="92">
        <v>1</v>
      </c>
      <c r="BS88" s="92">
        <v>1</v>
      </c>
      <c r="BT88" s="92">
        <v>1</v>
      </c>
      <c r="BU88" s="92">
        <v>1</v>
      </c>
      <c r="BV88" s="92">
        <v>1</v>
      </c>
      <c r="BW88" s="92" t="s">
        <v>311</v>
      </c>
      <c r="BX88" s="92" t="s">
        <v>311</v>
      </c>
      <c r="BY88" s="92" t="s">
        <v>318</v>
      </c>
    </row>
    <row r="89" spans="1:77" hidden="1" x14ac:dyDescent="0.25">
      <c r="A89" s="86" t="s">
        <v>133</v>
      </c>
      <c r="B89" s="86" t="s">
        <v>311</v>
      </c>
      <c r="C89" s="86" t="s">
        <v>311</v>
      </c>
      <c r="D89" s="86" t="s">
        <v>311</v>
      </c>
      <c r="E89" s="86" t="s">
        <v>311</v>
      </c>
      <c r="F89" s="86">
        <v>8</v>
      </c>
      <c r="G89" s="86">
        <v>1</v>
      </c>
      <c r="H89" s="86">
        <v>9</v>
      </c>
      <c r="I89" s="86">
        <v>3209</v>
      </c>
      <c r="J89" s="86">
        <v>594</v>
      </c>
      <c r="K89" s="93" t="s">
        <v>311</v>
      </c>
      <c r="L89" s="93" t="s">
        <v>311</v>
      </c>
      <c r="M89" s="93" t="s">
        <v>311</v>
      </c>
      <c r="N89" s="93" t="s">
        <v>311</v>
      </c>
      <c r="O89" s="93">
        <v>2.4929884699283265E-3</v>
      </c>
      <c r="P89" s="93">
        <v>1.6835016835016834E-3</v>
      </c>
      <c r="Q89" s="93">
        <v>2.3665527215356299E-3</v>
      </c>
      <c r="R89" s="86">
        <v>38</v>
      </c>
      <c r="S89" s="86">
        <v>37</v>
      </c>
      <c r="T89" s="86" t="s">
        <v>284</v>
      </c>
      <c r="U89" s="86" t="s">
        <v>288</v>
      </c>
      <c r="V89" t="s">
        <v>262</v>
      </c>
      <c r="W89">
        <v>4</v>
      </c>
      <c r="X89">
        <v>0</v>
      </c>
      <c r="Y89">
        <v>0</v>
      </c>
      <c r="Z89">
        <v>0</v>
      </c>
      <c r="AA89">
        <v>0</v>
      </c>
      <c r="AB89">
        <v>0</v>
      </c>
      <c r="AC89">
        <v>4</v>
      </c>
      <c r="AD89" s="92">
        <v>1.2464942349641633E-3</v>
      </c>
      <c r="AE89" s="92">
        <v>0</v>
      </c>
      <c r="AF89" s="92">
        <v>0</v>
      </c>
      <c r="AG89" s="92">
        <v>0</v>
      </c>
      <c r="AH89" s="92">
        <v>0</v>
      </c>
      <c r="AI89" s="92">
        <v>0</v>
      </c>
      <c r="AJ89" s="92">
        <v>1.0518012095713911E-3</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s="92">
        <v>0</v>
      </c>
      <c r="BF89" s="92">
        <v>0</v>
      </c>
      <c r="BG89" s="92">
        <v>0</v>
      </c>
      <c r="BH89" s="92">
        <v>0</v>
      </c>
      <c r="BI89" s="92">
        <v>0</v>
      </c>
      <c r="BJ89" s="92">
        <v>0</v>
      </c>
      <c r="BK89" s="92">
        <v>0</v>
      </c>
      <c r="BL89" s="92">
        <v>0</v>
      </c>
      <c r="BM89" s="92">
        <v>0</v>
      </c>
      <c r="BN89" s="92">
        <v>0</v>
      </c>
      <c r="BO89" s="92">
        <v>0</v>
      </c>
      <c r="BP89" s="92">
        <v>0</v>
      </c>
      <c r="BQ89" s="92">
        <v>0</v>
      </c>
      <c r="BR89" s="92">
        <v>0</v>
      </c>
      <c r="BS89" s="92">
        <v>0</v>
      </c>
      <c r="BT89" s="92">
        <v>0</v>
      </c>
      <c r="BU89" s="92">
        <v>0</v>
      </c>
      <c r="BV89" s="92">
        <v>0</v>
      </c>
      <c r="BW89" s="92">
        <v>0</v>
      </c>
      <c r="BX89" s="92">
        <v>0</v>
      </c>
      <c r="BY89" s="92" t="s">
        <v>317</v>
      </c>
    </row>
    <row r="90" spans="1:77" hidden="1" x14ac:dyDescent="0.25">
      <c r="A90" s="87" t="s">
        <v>77</v>
      </c>
      <c r="B90" s="87" t="s">
        <v>311</v>
      </c>
      <c r="C90" s="87" t="s">
        <v>311</v>
      </c>
      <c r="D90" s="87" t="s">
        <v>311</v>
      </c>
      <c r="E90" s="87" t="s">
        <v>311</v>
      </c>
      <c r="F90" s="87">
        <v>1281</v>
      </c>
      <c r="G90" s="87">
        <v>0</v>
      </c>
      <c r="H90" s="87">
        <v>1281</v>
      </c>
      <c r="I90" s="87">
        <v>3955</v>
      </c>
      <c r="J90" s="87">
        <v>4</v>
      </c>
      <c r="K90" s="92" t="s">
        <v>311</v>
      </c>
      <c r="L90" s="92" t="s">
        <v>311</v>
      </c>
      <c r="M90" s="92" t="s">
        <v>311</v>
      </c>
      <c r="N90" s="92" t="s">
        <v>311</v>
      </c>
      <c r="O90" s="92">
        <v>0.32389380530973449</v>
      </c>
      <c r="P90" s="92">
        <v>0</v>
      </c>
      <c r="Q90" s="92">
        <v>0.32356655721141703</v>
      </c>
      <c r="R90" s="87">
        <v>18</v>
      </c>
      <c r="S90" s="87">
        <v>6</v>
      </c>
      <c r="T90" s="87" t="s">
        <v>284</v>
      </c>
      <c r="U90" s="87" t="s">
        <v>285</v>
      </c>
      <c r="V90" t="s">
        <v>262</v>
      </c>
      <c r="W90">
        <v>2</v>
      </c>
      <c r="X90">
        <v>0</v>
      </c>
      <c r="Y90">
        <v>13</v>
      </c>
      <c r="Z90">
        <v>0</v>
      </c>
      <c r="AA90">
        <v>0</v>
      </c>
      <c r="AB90">
        <v>0</v>
      </c>
      <c r="AC90">
        <v>15</v>
      </c>
      <c r="AD90" s="92">
        <v>5.0568900126422248E-4</v>
      </c>
      <c r="AE90" s="92">
        <v>0</v>
      </c>
      <c r="AF90" s="92">
        <v>3.2869785082174463E-3</v>
      </c>
      <c r="AG90" s="92">
        <v>0</v>
      </c>
      <c r="AH90" s="92">
        <v>0</v>
      </c>
      <c r="AI90" s="92">
        <v>0</v>
      </c>
      <c r="AJ90" s="92">
        <v>3.7888355645364991E-3</v>
      </c>
      <c r="AK90">
        <v>0</v>
      </c>
      <c r="AL90">
        <v>0</v>
      </c>
      <c r="AM90">
        <v>0</v>
      </c>
      <c r="AN90">
        <v>0</v>
      </c>
      <c r="AO90">
        <v>0</v>
      </c>
      <c r="AP90">
        <v>0</v>
      </c>
      <c r="AQ90">
        <v>0</v>
      </c>
      <c r="AR90">
        <v>0</v>
      </c>
      <c r="AS90">
        <v>0</v>
      </c>
      <c r="AT90">
        <v>0</v>
      </c>
      <c r="AU90">
        <v>0</v>
      </c>
      <c r="AV90">
        <v>0</v>
      </c>
      <c r="AW90">
        <v>0</v>
      </c>
      <c r="AX90">
        <v>0</v>
      </c>
      <c r="AY90">
        <v>0</v>
      </c>
      <c r="AZ90">
        <v>0</v>
      </c>
      <c r="BA90">
        <v>0</v>
      </c>
      <c r="BB90">
        <v>0</v>
      </c>
      <c r="BC90">
        <v>0</v>
      </c>
      <c r="BD90">
        <v>0</v>
      </c>
      <c r="BE90" s="92">
        <v>0</v>
      </c>
      <c r="BF90" s="92">
        <v>0</v>
      </c>
      <c r="BG90" s="92">
        <v>0</v>
      </c>
      <c r="BH90" s="92">
        <v>0</v>
      </c>
      <c r="BI90" s="92">
        <v>0</v>
      </c>
      <c r="BJ90" s="92">
        <v>0</v>
      </c>
      <c r="BK90" s="92">
        <v>0</v>
      </c>
      <c r="BL90" s="92">
        <v>0</v>
      </c>
      <c r="BM90" s="92">
        <v>0</v>
      </c>
      <c r="BN90" s="92">
        <v>0</v>
      </c>
      <c r="BO90" s="92">
        <v>0</v>
      </c>
      <c r="BP90" s="92">
        <v>0</v>
      </c>
      <c r="BQ90" s="92">
        <v>0</v>
      </c>
      <c r="BR90" s="92">
        <v>0</v>
      </c>
      <c r="BS90" s="92">
        <v>0</v>
      </c>
      <c r="BT90" s="92">
        <v>0</v>
      </c>
      <c r="BU90" s="92">
        <v>0</v>
      </c>
      <c r="BV90" s="92">
        <v>0</v>
      </c>
      <c r="BW90" s="92">
        <v>0</v>
      </c>
      <c r="BX90" s="92">
        <v>0</v>
      </c>
      <c r="BY90" s="92" t="s">
        <v>317</v>
      </c>
    </row>
    <row r="91" spans="1:77" hidden="1" x14ac:dyDescent="0.25">
      <c r="A91" s="86" t="s">
        <v>78</v>
      </c>
      <c r="B91" s="86" t="s">
        <v>311</v>
      </c>
      <c r="C91" s="86" t="s">
        <v>311</v>
      </c>
      <c r="D91" s="86" t="s">
        <v>311</v>
      </c>
      <c r="E91" s="86" t="s">
        <v>311</v>
      </c>
      <c r="F91" s="86">
        <v>0</v>
      </c>
      <c r="G91" s="86">
        <v>0</v>
      </c>
      <c r="H91" s="86">
        <v>0</v>
      </c>
      <c r="I91" s="86">
        <v>7330</v>
      </c>
      <c r="J91" s="86">
        <v>1909</v>
      </c>
      <c r="K91" s="93" t="s">
        <v>311</v>
      </c>
      <c r="L91" s="93" t="s">
        <v>311</v>
      </c>
      <c r="M91" s="93" t="s">
        <v>311</v>
      </c>
      <c r="N91" s="93" t="s">
        <v>311</v>
      </c>
      <c r="O91" s="93">
        <v>0</v>
      </c>
      <c r="P91" s="93">
        <v>0</v>
      </c>
      <c r="Q91" s="93">
        <v>0</v>
      </c>
      <c r="R91" s="86">
        <v>46</v>
      </c>
      <c r="S91" s="86">
        <v>46</v>
      </c>
      <c r="T91" s="86" t="s">
        <v>284</v>
      </c>
      <c r="U91" s="86" t="s">
        <v>285</v>
      </c>
      <c r="V91" t="s">
        <v>262</v>
      </c>
      <c r="W91">
        <v>1132</v>
      </c>
      <c r="X91">
        <v>48</v>
      </c>
      <c r="Y91">
        <v>569</v>
      </c>
      <c r="Z91">
        <v>57</v>
      </c>
      <c r="AA91">
        <v>0</v>
      </c>
      <c r="AB91">
        <v>0</v>
      </c>
      <c r="AC91">
        <v>1806</v>
      </c>
      <c r="AD91" s="92">
        <v>0.15443383356070942</v>
      </c>
      <c r="AE91" s="92">
        <v>2.5144054478784705E-2</v>
      </c>
      <c r="AF91" s="92">
        <v>7.7626193724420187E-2</v>
      </c>
      <c r="AG91" s="92">
        <v>2.9858564693556838E-2</v>
      </c>
      <c r="AH91" s="92">
        <v>0</v>
      </c>
      <c r="AI91" s="92">
        <v>0</v>
      </c>
      <c r="AJ91" s="92">
        <v>0.19547570083342353</v>
      </c>
      <c r="AK91">
        <v>0</v>
      </c>
      <c r="AL91">
        <v>0</v>
      </c>
      <c r="AM91">
        <v>0</v>
      </c>
      <c r="AN91">
        <v>0</v>
      </c>
      <c r="AO91">
        <v>250</v>
      </c>
      <c r="AP91">
        <v>7</v>
      </c>
      <c r="AQ91">
        <v>362</v>
      </c>
      <c r="AR91">
        <v>7</v>
      </c>
      <c r="AS91">
        <v>521</v>
      </c>
      <c r="AT91">
        <v>8</v>
      </c>
      <c r="AU91">
        <v>590</v>
      </c>
      <c r="AV91">
        <v>12</v>
      </c>
      <c r="AW91">
        <v>650</v>
      </c>
      <c r="AX91">
        <v>14</v>
      </c>
      <c r="AY91">
        <v>734</v>
      </c>
      <c r="AZ91">
        <v>17</v>
      </c>
      <c r="BA91">
        <v>805</v>
      </c>
      <c r="BB91">
        <v>24</v>
      </c>
      <c r="BC91" t="s">
        <v>311</v>
      </c>
      <c r="BD91" t="s">
        <v>311</v>
      </c>
      <c r="BE91" s="92">
        <v>0</v>
      </c>
      <c r="BF91" s="92">
        <v>0</v>
      </c>
      <c r="BG91" s="92">
        <v>0</v>
      </c>
      <c r="BH91" s="92">
        <v>0</v>
      </c>
      <c r="BI91" s="92">
        <v>3.4106412005457026E-2</v>
      </c>
      <c r="BJ91" s="92">
        <v>3.6668412781561029E-3</v>
      </c>
      <c r="BK91" s="92">
        <v>4.9386084583901771E-2</v>
      </c>
      <c r="BL91" s="92">
        <v>3.6668412781561029E-3</v>
      </c>
      <c r="BM91" s="92">
        <v>7.1077762619372445E-2</v>
      </c>
      <c r="BN91" s="92">
        <v>4.1906757464641176E-3</v>
      </c>
      <c r="BO91" s="92">
        <v>8.0491132332878579E-2</v>
      </c>
      <c r="BP91" s="92">
        <v>6.2860136196961763E-3</v>
      </c>
      <c r="BQ91" s="92">
        <v>8.8676671214188263E-2</v>
      </c>
      <c r="BR91" s="92">
        <v>7.3336825563122057E-3</v>
      </c>
      <c r="BS91" s="92">
        <v>0.10013642564802183</v>
      </c>
      <c r="BT91" s="92">
        <v>8.9051859612362498E-3</v>
      </c>
      <c r="BU91" s="92">
        <v>0.10982264665757162</v>
      </c>
      <c r="BV91" s="92">
        <v>1.2572027239392353E-2</v>
      </c>
      <c r="BW91" s="92" t="s">
        <v>311</v>
      </c>
      <c r="BX91" s="92" t="s">
        <v>311</v>
      </c>
      <c r="BY91" s="92" t="s">
        <v>317</v>
      </c>
    </row>
    <row r="92" spans="1:77" hidden="1" x14ac:dyDescent="0.25">
      <c r="A92" s="87" t="s">
        <v>79</v>
      </c>
      <c r="B92" s="87" t="s">
        <v>311</v>
      </c>
      <c r="C92" s="87" t="s">
        <v>311</v>
      </c>
      <c r="D92" s="87" t="s">
        <v>311</v>
      </c>
      <c r="E92" s="87" t="s">
        <v>311</v>
      </c>
      <c r="F92" s="87">
        <v>0</v>
      </c>
      <c r="G92" s="87">
        <v>0</v>
      </c>
      <c r="H92" s="87">
        <v>0</v>
      </c>
      <c r="I92" s="87">
        <v>5338</v>
      </c>
      <c r="J92" s="87">
        <v>1152</v>
      </c>
      <c r="K92" s="92" t="s">
        <v>311</v>
      </c>
      <c r="L92" s="92" t="s">
        <v>311</v>
      </c>
      <c r="M92" s="92" t="s">
        <v>311</v>
      </c>
      <c r="N92" s="92" t="s">
        <v>311</v>
      </c>
      <c r="O92" s="92">
        <v>0</v>
      </c>
      <c r="P92" s="92">
        <v>0</v>
      </c>
      <c r="Q92" s="92">
        <v>0</v>
      </c>
      <c r="R92" s="87">
        <v>46</v>
      </c>
      <c r="S92" s="87">
        <v>46</v>
      </c>
      <c r="T92" s="87" t="s">
        <v>284</v>
      </c>
      <c r="U92" s="87" t="s">
        <v>285</v>
      </c>
      <c r="V92" t="s">
        <v>262</v>
      </c>
      <c r="W92">
        <v>178</v>
      </c>
      <c r="X92">
        <v>10</v>
      </c>
      <c r="Y92">
        <v>33</v>
      </c>
      <c r="Z92">
        <v>97</v>
      </c>
      <c r="AA92">
        <v>0</v>
      </c>
      <c r="AB92">
        <v>0</v>
      </c>
      <c r="AC92">
        <v>318</v>
      </c>
      <c r="AD92" s="92">
        <v>3.3345822405395277E-2</v>
      </c>
      <c r="AE92" s="92">
        <v>8.6805555555555559E-3</v>
      </c>
      <c r="AF92" s="92">
        <v>6.1820906706631694E-3</v>
      </c>
      <c r="AG92" s="92">
        <v>8.4201388888888895E-2</v>
      </c>
      <c r="AH92" s="92">
        <v>0</v>
      </c>
      <c r="AI92" s="92">
        <v>0</v>
      </c>
      <c r="AJ92" s="92">
        <v>4.8998459167950696E-2</v>
      </c>
      <c r="AK92">
        <v>0</v>
      </c>
      <c r="AL92">
        <v>0</v>
      </c>
      <c r="AM92">
        <v>0</v>
      </c>
      <c r="AN92">
        <v>0</v>
      </c>
      <c r="AO92">
        <v>87</v>
      </c>
      <c r="AP92">
        <v>2</v>
      </c>
      <c r="AQ92">
        <v>137</v>
      </c>
      <c r="AR92">
        <v>4</v>
      </c>
      <c r="AS92">
        <v>192</v>
      </c>
      <c r="AT92">
        <v>9</v>
      </c>
      <c r="AU92">
        <v>222</v>
      </c>
      <c r="AV92">
        <v>14</v>
      </c>
      <c r="AW92">
        <v>234</v>
      </c>
      <c r="AX92">
        <v>15</v>
      </c>
      <c r="AY92">
        <v>333</v>
      </c>
      <c r="AZ92">
        <v>26</v>
      </c>
      <c r="BA92">
        <v>350</v>
      </c>
      <c r="BB92">
        <v>67</v>
      </c>
      <c r="BC92" t="s">
        <v>311</v>
      </c>
      <c r="BD92" t="s">
        <v>311</v>
      </c>
      <c r="BE92" s="92">
        <v>0</v>
      </c>
      <c r="BF92" s="92">
        <v>0</v>
      </c>
      <c r="BG92" s="92">
        <v>0</v>
      </c>
      <c r="BH92" s="92">
        <v>0</v>
      </c>
      <c r="BI92" s="92">
        <v>1.6298239040839265E-2</v>
      </c>
      <c r="BJ92" s="92">
        <v>1.736111111111111E-3</v>
      </c>
      <c r="BK92" s="92">
        <v>2.5665043087298615E-2</v>
      </c>
      <c r="BL92" s="92">
        <v>3.472222222222222E-3</v>
      </c>
      <c r="BM92" s="92">
        <v>3.5968527538403898E-2</v>
      </c>
      <c r="BN92" s="92">
        <v>7.8125E-3</v>
      </c>
      <c r="BO92" s="92">
        <v>4.1588609966279506E-2</v>
      </c>
      <c r="BP92" s="92">
        <v>1.2152777777777778E-2</v>
      </c>
      <c r="BQ92" s="92">
        <v>4.3836642937429747E-2</v>
      </c>
      <c r="BR92" s="92">
        <v>1.3020833333333334E-2</v>
      </c>
      <c r="BS92" s="92">
        <v>6.2382914949419256E-2</v>
      </c>
      <c r="BT92" s="92">
        <v>2.2569444444444444E-2</v>
      </c>
      <c r="BU92" s="92">
        <v>6.5567628325215441E-2</v>
      </c>
      <c r="BV92" s="92">
        <v>5.8159722222222224E-2</v>
      </c>
      <c r="BW92" s="92" t="s">
        <v>311</v>
      </c>
      <c r="BX92" s="92" t="s">
        <v>311</v>
      </c>
      <c r="BY92" s="92" t="s">
        <v>317</v>
      </c>
    </row>
    <row r="93" spans="1:77" hidden="1" x14ac:dyDescent="0.25">
      <c r="A93" s="86" t="s">
        <v>134</v>
      </c>
      <c r="B93" s="86" t="s">
        <v>311</v>
      </c>
      <c r="C93" s="86" t="s">
        <v>311</v>
      </c>
      <c r="D93" s="86" t="s">
        <v>311</v>
      </c>
      <c r="E93" s="86" t="s">
        <v>311</v>
      </c>
      <c r="F93" s="86">
        <v>1</v>
      </c>
      <c r="G93" s="86">
        <v>0</v>
      </c>
      <c r="H93" s="86">
        <v>1</v>
      </c>
      <c r="I93" s="86">
        <v>10889</v>
      </c>
      <c r="J93" s="86">
        <v>950</v>
      </c>
      <c r="K93" s="93" t="s">
        <v>311</v>
      </c>
      <c r="L93" s="93" t="s">
        <v>311</v>
      </c>
      <c r="M93" s="93" t="s">
        <v>311</v>
      </c>
      <c r="N93" s="93" t="s">
        <v>311</v>
      </c>
      <c r="O93" s="93">
        <v>9.1835797593902102E-5</v>
      </c>
      <c r="P93" s="93">
        <v>0</v>
      </c>
      <c r="Q93" s="93">
        <v>8.4466593462285662E-5</v>
      </c>
      <c r="R93" s="86">
        <v>43</v>
      </c>
      <c r="S93" s="86">
        <v>44</v>
      </c>
      <c r="T93" s="86" t="s">
        <v>284</v>
      </c>
      <c r="U93" s="86" t="s">
        <v>285</v>
      </c>
      <c r="V93" t="s">
        <v>262</v>
      </c>
      <c r="W93">
        <v>226</v>
      </c>
      <c r="X93">
        <v>0</v>
      </c>
      <c r="Y93">
        <v>242</v>
      </c>
      <c r="Z93">
        <v>5</v>
      </c>
      <c r="AA93">
        <v>0</v>
      </c>
      <c r="AB93">
        <v>0</v>
      </c>
      <c r="AC93">
        <v>473</v>
      </c>
      <c r="AD93" s="92">
        <v>2.0754890256221875E-2</v>
      </c>
      <c r="AE93" s="92">
        <v>0</v>
      </c>
      <c r="AF93" s="92">
        <v>2.2224263017724309E-2</v>
      </c>
      <c r="AG93" s="92">
        <v>5.263157894736842E-3</v>
      </c>
      <c r="AH93" s="92">
        <v>0</v>
      </c>
      <c r="AI93" s="92">
        <v>0</v>
      </c>
      <c r="AJ93" s="92">
        <v>3.9952698707661119E-2</v>
      </c>
      <c r="AK93">
        <v>0</v>
      </c>
      <c r="AL93">
        <v>0</v>
      </c>
      <c r="AM93">
        <v>0</v>
      </c>
      <c r="AN93">
        <v>0</v>
      </c>
      <c r="AO93">
        <v>0</v>
      </c>
      <c r="AP93">
        <v>0</v>
      </c>
      <c r="AQ93">
        <v>0</v>
      </c>
      <c r="AR93">
        <v>0</v>
      </c>
      <c r="AS93">
        <v>0</v>
      </c>
      <c r="AT93">
        <v>0</v>
      </c>
      <c r="AU93">
        <v>1</v>
      </c>
      <c r="AV93">
        <v>0</v>
      </c>
      <c r="AW93">
        <v>1</v>
      </c>
      <c r="AX93">
        <v>0</v>
      </c>
      <c r="AY93">
        <v>2</v>
      </c>
      <c r="AZ93">
        <v>0</v>
      </c>
      <c r="BA93">
        <v>172</v>
      </c>
      <c r="BB93">
        <v>0</v>
      </c>
      <c r="BC93">
        <v>235</v>
      </c>
      <c r="BD93">
        <v>0</v>
      </c>
      <c r="BE93" s="92">
        <v>0</v>
      </c>
      <c r="BF93" s="92">
        <v>0</v>
      </c>
      <c r="BG93" s="92">
        <v>0</v>
      </c>
      <c r="BH93" s="92">
        <v>0</v>
      </c>
      <c r="BI93" s="92">
        <v>0</v>
      </c>
      <c r="BJ93" s="92">
        <v>0</v>
      </c>
      <c r="BK93" s="92">
        <v>0</v>
      </c>
      <c r="BL93" s="92">
        <v>0</v>
      </c>
      <c r="BM93" s="92">
        <v>0</v>
      </c>
      <c r="BN93" s="92">
        <v>0</v>
      </c>
      <c r="BO93" s="92">
        <v>9.1835797593902102E-5</v>
      </c>
      <c r="BP93" s="92">
        <v>0</v>
      </c>
      <c r="BQ93" s="92">
        <v>9.1835797593902102E-5</v>
      </c>
      <c r="BR93" s="92">
        <v>0</v>
      </c>
      <c r="BS93" s="92">
        <v>1.836715951878042E-4</v>
      </c>
      <c r="BT93" s="92">
        <v>0</v>
      </c>
      <c r="BU93" s="92">
        <v>1.5795757186151161E-2</v>
      </c>
      <c r="BV93" s="92">
        <v>0</v>
      </c>
      <c r="BW93" s="92">
        <v>2.1581412434566995E-2</v>
      </c>
      <c r="BX93" s="92">
        <v>0</v>
      </c>
      <c r="BY93" s="92" t="s">
        <v>317</v>
      </c>
    </row>
    <row r="94" spans="1:77" hidden="1" x14ac:dyDescent="0.25">
      <c r="A94" s="87" t="s">
        <v>80</v>
      </c>
      <c r="B94" s="87">
        <v>0</v>
      </c>
      <c r="C94" s="87">
        <v>0</v>
      </c>
      <c r="D94" s="87">
        <v>1</v>
      </c>
      <c r="E94" s="87">
        <v>0</v>
      </c>
      <c r="F94" s="87">
        <v>132</v>
      </c>
      <c r="G94" s="87">
        <v>0</v>
      </c>
      <c r="H94" s="87">
        <v>132</v>
      </c>
      <c r="I94" s="87">
        <v>1515</v>
      </c>
      <c r="J94" s="87">
        <v>3</v>
      </c>
      <c r="K94" s="92">
        <v>0</v>
      </c>
      <c r="L94" s="92">
        <v>0</v>
      </c>
      <c r="M94" s="92">
        <v>6.6006600660066007E-4</v>
      </c>
      <c r="N94" s="92">
        <v>0</v>
      </c>
      <c r="O94" s="92">
        <v>8.7128712871287123E-2</v>
      </c>
      <c r="P94" s="92">
        <v>0</v>
      </c>
      <c r="Q94" s="92">
        <v>8.6956521739130432E-2</v>
      </c>
      <c r="R94" s="87">
        <v>31</v>
      </c>
      <c r="S94" s="87">
        <v>20</v>
      </c>
      <c r="T94" s="87" t="s">
        <v>284</v>
      </c>
      <c r="U94" s="87" t="s">
        <v>285</v>
      </c>
      <c r="V94" t="s">
        <v>262</v>
      </c>
      <c r="W94">
        <v>18</v>
      </c>
      <c r="X94">
        <v>0</v>
      </c>
      <c r="Y94">
        <v>4</v>
      </c>
      <c r="Z94">
        <v>0</v>
      </c>
      <c r="AA94">
        <v>0</v>
      </c>
      <c r="AB94">
        <v>0</v>
      </c>
      <c r="AC94">
        <v>22</v>
      </c>
      <c r="AD94" s="92">
        <v>1.1881188118811881E-2</v>
      </c>
      <c r="AE94" s="92">
        <v>0</v>
      </c>
      <c r="AF94" s="92">
        <v>2.6402640264026403E-3</v>
      </c>
      <c r="AG94" s="92">
        <v>0</v>
      </c>
      <c r="AH94" s="92">
        <v>0</v>
      </c>
      <c r="AI94" s="92">
        <v>0</v>
      </c>
      <c r="AJ94" s="92">
        <v>1.4492753623188406E-2</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s="92">
        <v>0</v>
      </c>
      <c r="BF94" s="92">
        <v>0</v>
      </c>
      <c r="BG94" s="92">
        <v>0</v>
      </c>
      <c r="BH94" s="92">
        <v>0</v>
      </c>
      <c r="BI94" s="92">
        <v>0</v>
      </c>
      <c r="BJ94" s="92">
        <v>0</v>
      </c>
      <c r="BK94" s="92">
        <v>0</v>
      </c>
      <c r="BL94" s="92">
        <v>0</v>
      </c>
      <c r="BM94" s="92">
        <v>0</v>
      </c>
      <c r="BN94" s="92">
        <v>0</v>
      </c>
      <c r="BO94" s="92">
        <v>0</v>
      </c>
      <c r="BP94" s="92">
        <v>0</v>
      </c>
      <c r="BQ94" s="92">
        <v>0</v>
      </c>
      <c r="BR94" s="92">
        <v>0</v>
      </c>
      <c r="BS94" s="92">
        <v>0</v>
      </c>
      <c r="BT94" s="92">
        <v>0</v>
      </c>
      <c r="BU94" s="92">
        <v>0</v>
      </c>
      <c r="BV94" s="92">
        <v>0</v>
      </c>
      <c r="BW94" s="92">
        <v>0</v>
      </c>
      <c r="BX94" s="92">
        <v>0</v>
      </c>
      <c r="BY94" s="92" t="s">
        <v>317</v>
      </c>
    </row>
    <row r="95" spans="1:77" hidden="1" x14ac:dyDescent="0.25">
      <c r="A95" s="86" t="s">
        <v>81</v>
      </c>
      <c r="B95" s="86" t="s">
        <v>311</v>
      </c>
      <c r="C95" s="86" t="s">
        <v>311</v>
      </c>
      <c r="D95" s="86" t="s">
        <v>311</v>
      </c>
      <c r="E95" s="86" t="s">
        <v>311</v>
      </c>
      <c r="F95" s="86">
        <v>943</v>
      </c>
      <c r="G95" s="86">
        <v>203</v>
      </c>
      <c r="H95" s="86">
        <v>1146</v>
      </c>
      <c r="I95" s="86">
        <v>13393</v>
      </c>
      <c r="J95" s="86">
        <v>5643</v>
      </c>
      <c r="K95" s="93" t="s">
        <v>311</v>
      </c>
      <c r="L95" s="93" t="s">
        <v>311</v>
      </c>
      <c r="M95" s="93" t="s">
        <v>311</v>
      </c>
      <c r="N95" s="93" t="s">
        <v>311</v>
      </c>
      <c r="O95" s="93">
        <v>7.0409915627566641E-2</v>
      </c>
      <c r="P95" s="93">
        <v>3.5973772815878081E-2</v>
      </c>
      <c r="Q95" s="93">
        <v>6.0201723051061147E-2</v>
      </c>
      <c r="R95" s="86">
        <v>19</v>
      </c>
      <c r="S95" s="86">
        <v>25</v>
      </c>
      <c r="T95" s="86" t="s">
        <v>284</v>
      </c>
      <c r="U95" s="86" t="s">
        <v>285</v>
      </c>
      <c r="V95" t="s">
        <v>262</v>
      </c>
      <c r="W95">
        <v>485</v>
      </c>
      <c r="X95">
        <v>162</v>
      </c>
      <c r="Y95">
        <v>1914</v>
      </c>
      <c r="Z95">
        <v>1359</v>
      </c>
      <c r="AA95">
        <v>2242</v>
      </c>
      <c r="AB95">
        <v>1989</v>
      </c>
      <c r="AC95">
        <v>8151</v>
      </c>
      <c r="AD95" s="92">
        <v>3.621294706189801E-2</v>
      </c>
      <c r="AE95" s="92">
        <v>2.8708133971291867E-2</v>
      </c>
      <c r="AF95" s="92">
        <v>0.14291047562159337</v>
      </c>
      <c r="AG95" s="92">
        <v>0.24082934609250398</v>
      </c>
      <c r="AH95" s="92">
        <v>0.16740088105726872</v>
      </c>
      <c r="AI95" s="92">
        <v>0.3524720893141946</v>
      </c>
      <c r="AJ95" s="92">
        <v>0.42818869510401347</v>
      </c>
      <c r="AK95">
        <v>1</v>
      </c>
      <c r="AL95">
        <v>0</v>
      </c>
      <c r="AM95">
        <v>137</v>
      </c>
      <c r="AN95">
        <v>5</v>
      </c>
      <c r="AO95">
        <v>226</v>
      </c>
      <c r="AP95">
        <v>19</v>
      </c>
      <c r="AQ95">
        <v>2861</v>
      </c>
      <c r="AR95">
        <v>2245</v>
      </c>
      <c r="AS95">
        <v>3086</v>
      </c>
      <c r="AT95">
        <v>2568</v>
      </c>
      <c r="AU95">
        <v>3214</v>
      </c>
      <c r="AV95">
        <v>2699</v>
      </c>
      <c r="AW95">
        <v>3286</v>
      </c>
      <c r="AX95">
        <v>2735</v>
      </c>
      <c r="AY95">
        <v>3428</v>
      </c>
      <c r="AZ95">
        <v>2822</v>
      </c>
      <c r="BA95">
        <v>3586</v>
      </c>
      <c r="BB95">
        <v>2961</v>
      </c>
      <c r="BC95" t="s">
        <v>311</v>
      </c>
      <c r="BD95" t="s">
        <v>311</v>
      </c>
      <c r="BE95" s="92">
        <v>7.4665870230717542E-5</v>
      </c>
      <c r="BF95" s="92">
        <v>0</v>
      </c>
      <c r="BG95" s="92">
        <v>1.0229224221608303E-2</v>
      </c>
      <c r="BH95" s="92">
        <v>8.8605351763246503E-4</v>
      </c>
      <c r="BI95" s="92">
        <v>1.6874486672142162E-2</v>
      </c>
      <c r="BJ95" s="92">
        <v>3.3670033670033669E-3</v>
      </c>
      <c r="BK95" s="92">
        <v>0.21361905473008289</v>
      </c>
      <c r="BL95" s="92">
        <v>0.39783802941697677</v>
      </c>
      <c r="BM95" s="92">
        <v>0.23041887553199433</v>
      </c>
      <c r="BN95" s="92">
        <v>0.45507708665603402</v>
      </c>
      <c r="BO95" s="92">
        <v>0.23997610692152618</v>
      </c>
      <c r="BP95" s="92">
        <v>0.4782916888180046</v>
      </c>
      <c r="BQ95" s="92">
        <v>0.24535204957813783</v>
      </c>
      <c r="BR95" s="92">
        <v>0.48467127414495836</v>
      </c>
      <c r="BS95" s="92">
        <v>0.25595460315089974</v>
      </c>
      <c r="BT95" s="92">
        <v>0.50008860535176325</v>
      </c>
      <c r="BU95" s="92">
        <v>0.26775181064735309</v>
      </c>
      <c r="BV95" s="92">
        <v>0.52472089314194581</v>
      </c>
      <c r="BW95" s="92" t="s">
        <v>311</v>
      </c>
      <c r="BX95" s="92" t="s">
        <v>311</v>
      </c>
      <c r="BY95" s="92" t="s">
        <v>317</v>
      </c>
    </row>
    <row r="96" spans="1:77" hidden="1" x14ac:dyDescent="0.25">
      <c r="A96" s="87" t="s">
        <v>82</v>
      </c>
      <c r="B96" s="87" t="s">
        <v>311</v>
      </c>
      <c r="C96" s="87" t="s">
        <v>311</v>
      </c>
      <c r="D96" s="87" t="s">
        <v>311</v>
      </c>
      <c r="E96" s="87" t="s">
        <v>311</v>
      </c>
      <c r="F96" s="87">
        <v>0</v>
      </c>
      <c r="G96" s="87">
        <v>0</v>
      </c>
      <c r="H96" s="87">
        <v>0</v>
      </c>
      <c r="I96" s="87">
        <v>8979</v>
      </c>
      <c r="J96" s="87">
        <v>3062</v>
      </c>
      <c r="K96" s="92" t="s">
        <v>311</v>
      </c>
      <c r="L96" s="92" t="s">
        <v>311</v>
      </c>
      <c r="M96" s="92" t="s">
        <v>311</v>
      </c>
      <c r="N96" s="92" t="s">
        <v>311</v>
      </c>
      <c r="O96" s="92">
        <v>0</v>
      </c>
      <c r="P96" s="92">
        <v>0</v>
      </c>
      <c r="Q96" s="92">
        <v>0</v>
      </c>
      <c r="R96" s="87">
        <v>46</v>
      </c>
      <c r="S96" s="87">
        <v>46</v>
      </c>
      <c r="T96" s="87" t="s">
        <v>284</v>
      </c>
      <c r="U96" s="87" t="s">
        <v>285</v>
      </c>
      <c r="V96" t="s">
        <v>262</v>
      </c>
      <c r="W96">
        <v>269</v>
      </c>
      <c r="X96">
        <v>45</v>
      </c>
      <c r="Y96">
        <v>102</v>
      </c>
      <c r="Z96">
        <v>13</v>
      </c>
      <c r="AA96">
        <v>0</v>
      </c>
      <c r="AB96">
        <v>0</v>
      </c>
      <c r="AC96">
        <v>429</v>
      </c>
      <c r="AD96" s="92">
        <v>2.9958792738612319E-2</v>
      </c>
      <c r="AE96" s="92">
        <v>1.4696276943174396E-2</v>
      </c>
      <c r="AF96" s="92">
        <v>1.1359839625793518E-2</v>
      </c>
      <c r="AG96" s="92">
        <v>4.245591116917048E-3</v>
      </c>
      <c r="AH96" s="92">
        <v>0</v>
      </c>
      <c r="AI96" s="92">
        <v>0</v>
      </c>
      <c r="AJ96" s="92">
        <v>3.562827007723611E-2</v>
      </c>
      <c r="AK96">
        <v>0</v>
      </c>
      <c r="AL96">
        <v>0</v>
      </c>
      <c r="AM96">
        <v>0</v>
      </c>
      <c r="AN96">
        <v>0</v>
      </c>
      <c r="AO96">
        <v>0</v>
      </c>
      <c r="AP96">
        <v>0</v>
      </c>
      <c r="AQ96">
        <v>283</v>
      </c>
      <c r="AR96">
        <v>37</v>
      </c>
      <c r="AS96">
        <v>375</v>
      </c>
      <c r="AT96">
        <v>49</v>
      </c>
      <c r="AU96">
        <v>416</v>
      </c>
      <c r="AV96">
        <v>51</v>
      </c>
      <c r="AW96">
        <v>445</v>
      </c>
      <c r="AX96">
        <v>55</v>
      </c>
      <c r="AY96">
        <v>498</v>
      </c>
      <c r="AZ96">
        <v>78</v>
      </c>
      <c r="BA96">
        <v>537</v>
      </c>
      <c r="BB96">
        <v>87</v>
      </c>
      <c r="BC96" t="s">
        <v>311</v>
      </c>
      <c r="BD96" t="s">
        <v>311</v>
      </c>
      <c r="BE96" s="92">
        <v>0</v>
      </c>
      <c r="BF96" s="92">
        <v>0</v>
      </c>
      <c r="BG96" s="92">
        <v>0</v>
      </c>
      <c r="BH96" s="92">
        <v>0</v>
      </c>
      <c r="BI96" s="92">
        <v>0</v>
      </c>
      <c r="BJ96" s="92">
        <v>0</v>
      </c>
      <c r="BK96" s="92">
        <v>3.1517986412740839E-2</v>
      </c>
      <c r="BL96" s="92">
        <v>1.2083605486610059E-2</v>
      </c>
      <c r="BM96" s="92">
        <v>4.1764116271299702E-2</v>
      </c>
      <c r="BN96" s="92">
        <v>1.6002612671456563E-2</v>
      </c>
      <c r="BO96" s="92">
        <v>4.6330326316961802E-2</v>
      </c>
      <c r="BP96" s="92">
        <v>1.6655780535597648E-2</v>
      </c>
      <c r="BQ96" s="92">
        <v>4.9560084641942309E-2</v>
      </c>
      <c r="BR96" s="92">
        <v>1.7962116263879817E-2</v>
      </c>
      <c r="BS96" s="92">
        <v>5.5462746408286002E-2</v>
      </c>
      <c r="BT96" s="92">
        <v>2.5473546701502287E-2</v>
      </c>
      <c r="BU96" s="92">
        <v>5.9806214500501172E-2</v>
      </c>
      <c r="BV96" s="92">
        <v>2.8412802090137166E-2</v>
      </c>
      <c r="BW96" s="92" t="s">
        <v>311</v>
      </c>
      <c r="BX96" s="92" t="s">
        <v>311</v>
      </c>
      <c r="BY96" s="92" t="s">
        <v>317</v>
      </c>
    </row>
    <row r="97" spans="1:77" hidden="1" x14ac:dyDescent="0.25">
      <c r="A97" s="86" t="s">
        <v>83</v>
      </c>
      <c r="B97" s="86" t="s">
        <v>311</v>
      </c>
      <c r="C97" s="86" t="s">
        <v>311</v>
      </c>
      <c r="D97" s="86" t="s">
        <v>311</v>
      </c>
      <c r="E97" s="86" t="s">
        <v>311</v>
      </c>
      <c r="F97" s="86">
        <v>1587</v>
      </c>
      <c r="G97" s="86">
        <v>871</v>
      </c>
      <c r="H97" s="86">
        <v>2458</v>
      </c>
      <c r="I97" s="86">
        <v>8271</v>
      </c>
      <c r="J97" s="86">
        <v>1785</v>
      </c>
      <c r="K97" s="93" t="s">
        <v>311</v>
      </c>
      <c r="L97" s="93" t="s">
        <v>311</v>
      </c>
      <c r="M97" s="93" t="s">
        <v>311</v>
      </c>
      <c r="N97" s="93" t="s">
        <v>311</v>
      </c>
      <c r="O97" s="93">
        <v>0.19187522669568371</v>
      </c>
      <c r="P97" s="93">
        <v>0.48795518207282912</v>
      </c>
      <c r="Q97" s="93">
        <v>0.24443118536197295</v>
      </c>
      <c r="R97" s="86">
        <v>11</v>
      </c>
      <c r="S97" s="86">
        <v>9</v>
      </c>
      <c r="T97" s="86" t="s">
        <v>284</v>
      </c>
      <c r="U97" s="86" t="s">
        <v>285</v>
      </c>
      <c r="V97" t="s">
        <v>262</v>
      </c>
      <c r="W97">
        <v>85</v>
      </c>
      <c r="X97">
        <v>7</v>
      </c>
      <c r="Y97">
        <v>121</v>
      </c>
      <c r="Z97">
        <v>151</v>
      </c>
      <c r="AA97">
        <v>0</v>
      </c>
      <c r="AB97">
        <v>0</v>
      </c>
      <c r="AC97">
        <v>364</v>
      </c>
      <c r="AD97" s="92">
        <v>1.0276870995042922E-2</v>
      </c>
      <c r="AE97" s="92">
        <v>3.9215686274509803E-3</v>
      </c>
      <c r="AF97" s="92">
        <v>1.4629428122355218E-2</v>
      </c>
      <c r="AG97" s="92">
        <v>8.459383753501401E-2</v>
      </c>
      <c r="AH97" s="92">
        <v>0</v>
      </c>
      <c r="AI97" s="92">
        <v>0</v>
      </c>
      <c r="AJ97" s="92">
        <v>3.6197295147175818E-2</v>
      </c>
      <c r="AK97">
        <v>0</v>
      </c>
      <c r="AL97">
        <v>0</v>
      </c>
      <c r="AM97">
        <v>0</v>
      </c>
      <c r="AN97">
        <v>0</v>
      </c>
      <c r="AO97">
        <v>0</v>
      </c>
      <c r="AP97">
        <v>0</v>
      </c>
      <c r="AQ97">
        <v>65</v>
      </c>
      <c r="AR97">
        <v>2</v>
      </c>
      <c r="AS97">
        <v>164</v>
      </c>
      <c r="AT97">
        <v>2</v>
      </c>
      <c r="AU97">
        <v>217</v>
      </c>
      <c r="AV97">
        <v>10</v>
      </c>
      <c r="AW97">
        <v>234</v>
      </c>
      <c r="AX97">
        <v>10</v>
      </c>
      <c r="AY97">
        <v>279</v>
      </c>
      <c r="AZ97">
        <v>10</v>
      </c>
      <c r="BA97">
        <v>307</v>
      </c>
      <c r="BB97">
        <v>11</v>
      </c>
      <c r="BC97" t="s">
        <v>311</v>
      </c>
      <c r="BD97" t="s">
        <v>311</v>
      </c>
      <c r="BE97" s="92">
        <v>0</v>
      </c>
      <c r="BF97" s="92">
        <v>0</v>
      </c>
      <c r="BG97" s="92">
        <v>0</v>
      </c>
      <c r="BH97" s="92">
        <v>0</v>
      </c>
      <c r="BI97" s="92">
        <v>0</v>
      </c>
      <c r="BJ97" s="92">
        <v>0</v>
      </c>
      <c r="BK97" s="92">
        <v>7.8587837020916464E-3</v>
      </c>
      <c r="BL97" s="92">
        <v>1.1204481792717086E-3</v>
      </c>
      <c r="BM97" s="92">
        <v>1.9828315802200458E-2</v>
      </c>
      <c r="BN97" s="92">
        <v>1.1204481792717086E-3</v>
      </c>
      <c r="BO97" s="92">
        <v>2.623624712852134E-2</v>
      </c>
      <c r="BP97" s="92">
        <v>5.6022408963585435E-3</v>
      </c>
      <c r="BQ97" s="92">
        <v>2.8291621327529923E-2</v>
      </c>
      <c r="BR97" s="92">
        <v>5.6022408963585435E-3</v>
      </c>
      <c r="BS97" s="92">
        <v>3.3732317736670292E-2</v>
      </c>
      <c r="BT97" s="92">
        <v>5.6022408963585435E-3</v>
      </c>
      <c r="BU97" s="92">
        <v>3.7117639946802082E-2</v>
      </c>
      <c r="BV97" s="92">
        <v>6.1624649859943975E-3</v>
      </c>
      <c r="BW97" s="92" t="s">
        <v>311</v>
      </c>
      <c r="BX97" s="92" t="s">
        <v>311</v>
      </c>
      <c r="BY97" s="92" t="s">
        <v>317</v>
      </c>
    </row>
    <row r="98" spans="1:77" hidden="1" x14ac:dyDescent="0.25">
      <c r="A98" s="87" t="s">
        <v>69</v>
      </c>
      <c r="B98" s="87" t="s">
        <v>311</v>
      </c>
      <c r="C98" s="87" t="s">
        <v>311</v>
      </c>
      <c r="D98" s="87" t="s">
        <v>311</v>
      </c>
      <c r="E98" s="87" t="s">
        <v>311</v>
      </c>
      <c r="F98" s="87">
        <v>500</v>
      </c>
      <c r="G98" s="87">
        <v>64</v>
      </c>
      <c r="H98" s="87">
        <v>564</v>
      </c>
      <c r="I98" s="87">
        <v>17875</v>
      </c>
      <c r="J98" s="87">
        <v>9301</v>
      </c>
      <c r="K98" s="92" t="s">
        <v>311</v>
      </c>
      <c r="L98" s="92" t="s">
        <v>311</v>
      </c>
      <c r="M98" s="92" t="s">
        <v>311</v>
      </c>
      <c r="N98" s="92" t="s">
        <v>311</v>
      </c>
      <c r="O98" s="92">
        <v>2.7972027972027972E-2</v>
      </c>
      <c r="P98" s="92">
        <v>6.8809805397269108E-3</v>
      </c>
      <c r="Q98" s="92">
        <v>2.0753606123049748E-2</v>
      </c>
      <c r="R98" s="87">
        <v>24</v>
      </c>
      <c r="S98" s="87">
        <v>30</v>
      </c>
      <c r="T98" s="87" t="s">
        <v>284</v>
      </c>
      <c r="U98" s="87" t="s">
        <v>285</v>
      </c>
      <c r="V98" t="s">
        <v>262</v>
      </c>
      <c r="W98">
        <v>1351</v>
      </c>
      <c r="X98">
        <v>286</v>
      </c>
      <c r="Y98">
        <v>322</v>
      </c>
      <c r="Z98">
        <v>952</v>
      </c>
      <c r="AA98">
        <v>5963</v>
      </c>
      <c r="AB98">
        <v>2239</v>
      </c>
      <c r="AC98">
        <v>11113</v>
      </c>
      <c r="AD98" s="92">
        <v>7.5580419580419583E-2</v>
      </c>
      <c r="AE98" s="92">
        <v>3.0749381786904634E-2</v>
      </c>
      <c r="AF98" s="92">
        <v>1.8013986013986013E-2</v>
      </c>
      <c r="AG98" s="92">
        <v>0.10235458552843781</v>
      </c>
      <c r="AH98" s="92">
        <v>0.33359440559440562</v>
      </c>
      <c r="AI98" s="92">
        <v>0.24072680356950865</v>
      </c>
      <c r="AJ98" s="92">
        <v>0.40892699440682956</v>
      </c>
      <c r="AK98">
        <v>0</v>
      </c>
      <c r="AL98">
        <v>0</v>
      </c>
      <c r="AM98">
        <v>0</v>
      </c>
      <c r="AN98">
        <v>0</v>
      </c>
      <c r="AO98">
        <v>1177</v>
      </c>
      <c r="AP98">
        <v>256</v>
      </c>
      <c r="AQ98">
        <v>1258</v>
      </c>
      <c r="AR98">
        <v>290</v>
      </c>
      <c r="AS98">
        <v>7644</v>
      </c>
      <c r="AT98">
        <v>3044</v>
      </c>
      <c r="AU98">
        <v>7766</v>
      </c>
      <c r="AV98">
        <v>3252</v>
      </c>
      <c r="AW98">
        <v>7834</v>
      </c>
      <c r="AX98">
        <v>3334</v>
      </c>
      <c r="AY98">
        <v>7939</v>
      </c>
      <c r="AZ98">
        <v>3471</v>
      </c>
      <c r="BA98">
        <v>8073</v>
      </c>
      <c r="BB98">
        <v>3575</v>
      </c>
      <c r="BC98" t="s">
        <v>311</v>
      </c>
      <c r="BD98" t="s">
        <v>311</v>
      </c>
      <c r="BE98" s="92">
        <v>0</v>
      </c>
      <c r="BF98" s="92">
        <v>0</v>
      </c>
      <c r="BG98" s="92">
        <v>0</v>
      </c>
      <c r="BH98" s="92">
        <v>0</v>
      </c>
      <c r="BI98" s="92">
        <v>6.5846153846153846E-2</v>
      </c>
      <c r="BJ98" s="92">
        <v>2.7523922158907643E-2</v>
      </c>
      <c r="BK98" s="92">
        <v>7.0377622377622379E-2</v>
      </c>
      <c r="BL98" s="92">
        <v>3.1179443070637566E-2</v>
      </c>
      <c r="BM98" s="92">
        <v>0.42763636363636365</v>
      </c>
      <c r="BN98" s="92">
        <v>0.3272766369207612</v>
      </c>
      <c r="BO98" s="92">
        <v>0.43446153846153845</v>
      </c>
      <c r="BP98" s="92">
        <v>0.34963982367487367</v>
      </c>
      <c r="BQ98" s="92">
        <v>0.43826573426573429</v>
      </c>
      <c r="BR98" s="92">
        <v>0.35845607999139878</v>
      </c>
      <c r="BS98" s="92">
        <v>0.44413986013986012</v>
      </c>
      <c r="BT98" s="92">
        <v>0.3731856789592517</v>
      </c>
      <c r="BU98" s="92">
        <v>0.45163636363636361</v>
      </c>
      <c r="BV98" s="92">
        <v>0.38436727233630791</v>
      </c>
      <c r="BW98" s="92" t="s">
        <v>311</v>
      </c>
      <c r="BX98" s="92" t="s">
        <v>311</v>
      </c>
      <c r="BY98" s="92" t="s">
        <v>317</v>
      </c>
    </row>
    <row r="99" spans="1:77" hidden="1" x14ac:dyDescent="0.25">
      <c r="A99" s="86" t="s">
        <v>84</v>
      </c>
      <c r="B99" s="86" t="s">
        <v>311</v>
      </c>
      <c r="C99" s="86" t="s">
        <v>311</v>
      </c>
      <c r="D99" s="86" t="s">
        <v>311</v>
      </c>
      <c r="E99" s="86" t="s">
        <v>311</v>
      </c>
      <c r="F99" s="86">
        <v>0</v>
      </c>
      <c r="G99" s="86">
        <v>0</v>
      </c>
      <c r="H99" s="86">
        <v>0</v>
      </c>
      <c r="I99" s="86">
        <v>13018</v>
      </c>
      <c r="J99" s="86">
        <v>3295</v>
      </c>
      <c r="K99" s="93" t="s">
        <v>311</v>
      </c>
      <c r="L99" s="93" t="s">
        <v>311</v>
      </c>
      <c r="M99" s="93" t="s">
        <v>311</v>
      </c>
      <c r="N99" s="93" t="s">
        <v>311</v>
      </c>
      <c r="O99" s="93">
        <v>0</v>
      </c>
      <c r="P99" s="93">
        <v>0</v>
      </c>
      <c r="Q99" s="93">
        <v>0</v>
      </c>
      <c r="R99" s="86">
        <v>46</v>
      </c>
      <c r="S99" s="86">
        <v>46</v>
      </c>
      <c r="T99" s="86" t="s">
        <v>284</v>
      </c>
      <c r="U99" s="86" t="s">
        <v>285</v>
      </c>
      <c r="V99" t="s">
        <v>262</v>
      </c>
      <c r="W99">
        <v>133</v>
      </c>
      <c r="X99">
        <v>118</v>
      </c>
      <c r="Y99">
        <v>1</v>
      </c>
      <c r="Z99">
        <v>0</v>
      </c>
      <c r="AA99">
        <v>0</v>
      </c>
      <c r="AB99">
        <v>0</v>
      </c>
      <c r="AC99">
        <v>252</v>
      </c>
      <c r="AD99" s="92">
        <v>1.0216623137194654E-2</v>
      </c>
      <c r="AE99" s="92">
        <v>3.5811836115326255E-2</v>
      </c>
      <c r="AF99" s="92">
        <v>7.681671531725304E-5</v>
      </c>
      <c r="AG99" s="92">
        <v>0</v>
      </c>
      <c r="AH99" s="92">
        <v>0</v>
      </c>
      <c r="AI99" s="92">
        <v>0</v>
      </c>
      <c r="AJ99" s="92">
        <v>1.5447802366210997E-2</v>
      </c>
      <c r="AK99">
        <v>0</v>
      </c>
      <c r="AL99">
        <v>0</v>
      </c>
      <c r="AM99">
        <v>0</v>
      </c>
      <c r="AN99">
        <v>0</v>
      </c>
      <c r="AO99">
        <v>0</v>
      </c>
      <c r="AP99">
        <v>0</v>
      </c>
      <c r="AQ99">
        <v>0</v>
      </c>
      <c r="AR99">
        <v>0</v>
      </c>
      <c r="AS99">
        <v>0</v>
      </c>
      <c r="AT99">
        <v>0</v>
      </c>
      <c r="AU99">
        <v>0</v>
      </c>
      <c r="AV99">
        <v>0</v>
      </c>
      <c r="AW99">
        <v>0</v>
      </c>
      <c r="AX99">
        <v>0</v>
      </c>
      <c r="AY99">
        <v>0</v>
      </c>
      <c r="AZ99">
        <v>0</v>
      </c>
      <c r="BA99">
        <v>0</v>
      </c>
      <c r="BB99">
        <v>2</v>
      </c>
      <c r="BC99" t="s">
        <v>311</v>
      </c>
      <c r="BD99" t="s">
        <v>311</v>
      </c>
      <c r="BE99" s="92">
        <v>0</v>
      </c>
      <c r="BF99" s="92">
        <v>0</v>
      </c>
      <c r="BG99" s="92">
        <v>0</v>
      </c>
      <c r="BH99" s="92">
        <v>0</v>
      </c>
      <c r="BI99" s="92">
        <v>0</v>
      </c>
      <c r="BJ99" s="92">
        <v>0</v>
      </c>
      <c r="BK99" s="92">
        <v>0</v>
      </c>
      <c r="BL99" s="92">
        <v>0</v>
      </c>
      <c r="BM99" s="92">
        <v>0</v>
      </c>
      <c r="BN99" s="92">
        <v>0</v>
      </c>
      <c r="BO99" s="92">
        <v>0</v>
      </c>
      <c r="BP99" s="92">
        <v>0</v>
      </c>
      <c r="BQ99" s="92">
        <v>0</v>
      </c>
      <c r="BR99" s="92">
        <v>0</v>
      </c>
      <c r="BS99" s="92">
        <v>0</v>
      </c>
      <c r="BT99" s="92">
        <v>0</v>
      </c>
      <c r="BU99" s="92">
        <v>0</v>
      </c>
      <c r="BV99" s="92">
        <v>6.0698027314112291E-4</v>
      </c>
      <c r="BW99" s="92" t="s">
        <v>311</v>
      </c>
      <c r="BX99" s="92" t="s">
        <v>311</v>
      </c>
      <c r="BY99" s="92" t="s">
        <v>317</v>
      </c>
    </row>
    <row r="100" spans="1:77" hidden="1" x14ac:dyDescent="0.25">
      <c r="A100" s="87" t="s">
        <v>85</v>
      </c>
      <c r="B100" s="87">
        <v>532</v>
      </c>
      <c r="C100" s="87">
        <v>14</v>
      </c>
      <c r="D100" s="87">
        <v>1129</v>
      </c>
      <c r="E100" s="87">
        <v>10</v>
      </c>
      <c r="F100" s="87">
        <v>3956</v>
      </c>
      <c r="G100" s="87">
        <v>40</v>
      </c>
      <c r="H100" s="87">
        <v>3996</v>
      </c>
      <c r="I100" s="87">
        <v>16155</v>
      </c>
      <c r="J100" s="87">
        <v>1067</v>
      </c>
      <c r="K100" s="92">
        <v>3.2930981120396163E-2</v>
      </c>
      <c r="L100" s="92">
        <v>1.3120899718837863E-2</v>
      </c>
      <c r="M100" s="92">
        <v>6.9885484370164036E-2</v>
      </c>
      <c r="N100" s="92">
        <v>9.3720712277413302E-3</v>
      </c>
      <c r="O100" s="92">
        <v>0.24487774682760755</v>
      </c>
      <c r="P100" s="92">
        <v>3.7488284910965321E-2</v>
      </c>
      <c r="Q100" s="92">
        <v>0.23202880037161769</v>
      </c>
      <c r="R100" s="87">
        <v>3</v>
      </c>
      <c r="S100" s="87">
        <v>11</v>
      </c>
      <c r="T100" s="87" t="s">
        <v>284</v>
      </c>
      <c r="U100" s="87" t="s">
        <v>286</v>
      </c>
      <c r="V100" t="s">
        <v>262</v>
      </c>
      <c r="W100">
        <v>244</v>
      </c>
      <c r="X100">
        <v>10</v>
      </c>
      <c r="Y100">
        <v>36</v>
      </c>
      <c r="Z100">
        <v>2</v>
      </c>
      <c r="AA100">
        <v>0</v>
      </c>
      <c r="AB100">
        <v>0</v>
      </c>
      <c r="AC100">
        <v>292</v>
      </c>
      <c r="AD100" s="92">
        <v>1.5103683070256887E-2</v>
      </c>
      <c r="AE100" s="92">
        <v>9.3720712277413302E-3</v>
      </c>
      <c r="AF100" s="92">
        <v>2.2284122562674096E-3</v>
      </c>
      <c r="AG100" s="92">
        <v>1.8744142455482662E-3</v>
      </c>
      <c r="AH100" s="92">
        <v>0</v>
      </c>
      <c r="AI100" s="92">
        <v>0</v>
      </c>
      <c r="AJ100" s="92">
        <v>1.6955057484612703E-2</v>
      </c>
      <c r="AK100">
        <v>0</v>
      </c>
      <c r="AL100">
        <v>0</v>
      </c>
      <c r="AM100">
        <v>21</v>
      </c>
      <c r="AN100">
        <v>2</v>
      </c>
      <c r="AO100">
        <v>21</v>
      </c>
      <c r="AP100">
        <v>2</v>
      </c>
      <c r="AQ100">
        <v>21</v>
      </c>
      <c r="AR100">
        <v>2</v>
      </c>
      <c r="AS100">
        <v>22</v>
      </c>
      <c r="AT100">
        <v>3</v>
      </c>
      <c r="AU100">
        <v>22</v>
      </c>
      <c r="AV100">
        <v>3</v>
      </c>
      <c r="AW100">
        <v>22</v>
      </c>
      <c r="AX100">
        <v>4</v>
      </c>
      <c r="AY100">
        <v>30</v>
      </c>
      <c r="AZ100">
        <v>6</v>
      </c>
      <c r="BA100">
        <v>68</v>
      </c>
      <c r="BB100">
        <v>7</v>
      </c>
      <c r="BC100">
        <v>8</v>
      </c>
      <c r="BD100">
        <v>1</v>
      </c>
      <c r="BE100" s="92">
        <v>0</v>
      </c>
      <c r="BF100" s="92">
        <v>0</v>
      </c>
      <c r="BG100" s="92">
        <v>1.2999071494893223E-3</v>
      </c>
      <c r="BH100" s="92">
        <v>1.8744142455482662E-3</v>
      </c>
      <c r="BI100" s="92">
        <v>1.2999071494893223E-3</v>
      </c>
      <c r="BJ100" s="92">
        <v>1.8744142455482662E-3</v>
      </c>
      <c r="BK100" s="92">
        <v>1.2999071494893223E-3</v>
      </c>
      <c r="BL100" s="92">
        <v>1.8744142455482662E-3</v>
      </c>
      <c r="BM100" s="92">
        <v>1.3618074899411946E-3</v>
      </c>
      <c r="BN100" s="92">
        <v>2.8116213683223993E-3</v>
      </c>
      <c r="BO100" s="92">
        <v>1.3618074899411946E-3</v>
      </c>
      <c r="BP100" s="92">
        <v>2.8116213683223993E-3</v>
      </c>
      <c r="BQ100" s="92">
        <v>1.3618074899411946E-3</v>
      </c>
      <c r="BR100" s="92">
        <v>3.7488284910965324E-3</v>
      </c>
      <c r="BS100" s="92">
        <v>1.8570102135561746E-3</v>
      </c>
      <c r="BT100" s="92">
        <v>5.6232427366447986E-3</v>
      </c>
      <c r="BU100" s="92">
        <v>4.2092231507273288E-3</v>
      </c>
      <c r="BV100" s="92">
        <v>6.5604498594189313E-3</v>
      </c>
      <c r="BW100" s="92">
        <v>4.9520272361497993E-4</v>
      </c>
      <c r="BX100" s="92">
        <v>9.372071227741331E-4</v>
      </c>
      <c r="BY100" s="92" t="s">
        <v>318</v>
      </c>
    </row>
    <row r="101" spans="1:77" hidden="1" x14ac:dyDescent="0.25">
      <c r="A101" s="86" t="s">
        <v>86</v>
      </c>
      <c r="B101" s="86">
        <v>2</v>
      </c>
      <c r="C101" s="86">
        <v>0</v>
      </c>
      <c r="D101" s="86">
        <v>0</v>
      </c>
      <c r="E101" s="86">
        <v>0</v>
      </c>
      <c r="F101" s="86">
        <v>661</v>
      </c>
      <c r="G101" s="86">
        <v>3</v>
      </c>
      <c r="H101" s="86">
        <v>664</v>
      </c>
      <c r="I101" s="86">
        <v>1962</v>
      </c>
      <c r="J101" s="86">
        <v>7</v>
      </c>
      <c r="K101" s="93">
        <v>1.0193679918450561E-3</v>
      </c>
      <c r="L101" s="93">
        <v>0</v>
      </c>
      <c r="M101" s="93">
        <v>0</v>
      </c>
      <c r="N101" s="93">
        <v>0</v>
      </c>
      <c r="O101" s="93">
        <v>0.33690112130479105</v>
      </c>
      <c r="P101" s="93">
        <v>0.42857142857142855</v>
      </c>
      <c r="Q101" s="93">
        <v>0.3372270187912646</v>
      </c>
      <c r="R101" s="86">
        <v>23</v>
      </c>
      <c r="S101" s="86">
        <v>4</v>
      </c>
      <c r="T101" s="86" t="s">
        <v>284</v>
      </c>
      <c r="U101" s="86" t="s">
        <v>286</v>
      </c>
      <c r="V101" t="s">
        <v>262</v>
      </c>
      <c r="W101">
        <v>2</v>
      </c>
      <c r="X101">
        <v>0</v>
      </c>
      <c r="Y101">
        <v>2</v>
      </c>
      <c r="Z101">
        <v>0</v>
      </c>
      <c r="AA101">
        <v>0</v>
      </c>
      <c r="AB101">
        <v>0</v>
      </c>
      <c r="AC101">
        <v>4</v>
      </c>
      <c r="AD101" s="92">
        <v>1.0193679918450561E-3</v>
      </c>
      <c r="AE101" s="92">
        <v>0</v>
      </c>
      <c r="AF101" s="92">
        <v>1.0193679918450561E-3</v>
      </c>
      <c r="AG101" s="92">
        <v>0</v>
      </c>
      <c r="AH101" s="92">
        <v>0</v>
      </c>
      <c r="AI101" s="92">
        <v>0</v>
      </c>
      <c r="AJ101" s="92">
        <v>2.0314880650076179E-3</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s="92">
        <v>0</v>
      </c>
      <c r="BF101" s="92">
        <v>0</v>
      </c>
      <c r="BG101" s="92">
        <v>0</v>
      </c>
      <c r="BH101" s="92">
        <v>0</v>
      </c>
      <c r="BI101" s="92">
        <v>0</v>
      </c>
      <c r="BJ101" s="92">
        <v>0</v>
      </c>
      <c r="BK101" s="92">
        <v>0</v>
      </c>
      <c r="BL101" s="92">
        <v>0</v>
      </c>
      <c r="BM101" s="92">
        <v>0</v>
      </c>
      <c r="BN101" s="92">
        <v>0</v>
      </c>
      <c r="BO101" s="92">
        <v>0</v>
      </c>
      <c r="BP101" s="92">
        <v>0</v>
      </c>
      <c r="BQ101" s="92">
        <v>0</v>
      </c>
      <c r="BR101" s="92">
        <v>0</v>
      </c>
      <c r="BS101" s="92">
        <v>0</v>
      </c>
      <c r="BT101" s="92">
        <v>0</v>
      </c>
      <c r="BU101" s="92">
        <v>0</v>
      </c>
      <c r="BV101" s="92">
        <v>0</v>
      </c>
      <c r="BW101" s="92">
        <v>0</v>
      </c>
      <c r="BX101" s="92">
        <v>0</v>
      </c>
      <c r="BY101" s="92" t="s">
        <v>317</v>
      </c>
    </row>
    <row r="102" spans="1:77" hidden="1" x14ac:dyDescent="0.25">
      <c r="A102" s="87" t="s">
        <v>88</v>
      </c>
      <c r="B102" s="87" t="s">
        <v>311</v>
      </c>
      <c r="C102" s="87" t="s">
        <v>311</v>
      </c>
      <c r="D102" s="87" t="s">
        <v>311</v>
      </c>
      <c r="E102" s="87" t="s">
        <v>311</v>
      </c>
      <c r="F102" s="87">
        <v>0</v>
      </c>
      <c r="G102" s="87">
        <v>0</v>
      </c>
      <c r="H102" s="87">
        <v>0</v>
      </c>
      <c r="I102" s="87">
        <v>7742</v>
      </c>
      <c r="J102" s="87">
        <v>3118</v>
      </c>
      <c r="K102" s="92" t="s">
        <v>311</v>
      </c>
      <c r="L102" s="92" t="s">
        <v>311</v>
      </c>
      <c r="M102" s="92" t="s">
        <v>311</v>
      </c>
      <c r="N102" s="92" t="s">
        <v>311</v>
      </c>
      <c r="O102" s="92">
        <v>0</v>
      </c>
      <c r="P102" s="92">
        <v>0</v>
      </c>
      <c r="Q102" s="92">
        <v>0</v>
      </c>
      <c r="R102" s="87">
        <v>46</v>
      </c>
      <c r="S102" s="87">
        <v>46</v>
      </c>
      <c r="T102" s="87" t="s">
        <v>279</v>
      </c>
      <c r="U102" s="87" t="s">
        <v>286</v>
      </c>
      <c r="V102" t="s">
        <v>263</v>
      </c>
      <c r="W102">
        <v>23</v>
      </c>
      <c r="X102">
        <v>0</v>
      </c>
      <c r="Y102">
        <v>6</v>
      </c>
      <c r="Z102">
        <v>0</v>
      </c>
      <c r="AA102">
        <v>0</v>
      </c>
      <c r="AB102">
        <v>0</v>
      </c>
      <c r="AC102">
        <v>29</v>
      </c>
      <c r="AD102" s="92">
        <v>2.9708085765951949E-3</v>
      </c>
      <c r="AE102" s="92">
        <v>0</v>
      </c>
      <c r="AF102" s="92">
        <v>7.7499354172048571E-4</v>
      </c>
      <c r="AG102" s="92">
        <v>0</v>
      </c>
      <c r="AH102" s="92">
        <v>0</v>
      </c>
      <c r="AI102" s="92">
        <v>0</v>
      </c>
      <c r="AJ102" s="92">
        <v>2.6703499079189686E-3</v>
      </c>
      <c r="AK102">
        <v>0</v>
      </c>
      <c r="AL102">
        <v>0</v>
      </c>
      <c r="AM102">
        <v>0</v>
      </c>
      <c r="AN102">
        <v>0</v>
      </c>
      <c r="AO102">
        <v>0</v>
      </c>
      <c r="AP102">
        <v>0</v>
      </c>
      <c r="AQ102">
        <v>0</v>
      </c>
      <c r="AR102">
        <v>0</v>
      </c>
      <c r="AS102">
        <v>0</v>
      </c>
      <c r="AT102">
        <v>0</v>
      </c>
      <c r="AU102">
        <v>0</v>
      </c>
      <c r="AV102">
        <v>0</v>
      </c>
      <c r="AW102">
        <v>0</v>
      </c>
      <c r="AX102">
        <v>0</v>
      </c>
      <c r="AY102">
        <v>0</v>
      </c>
      <c r="AZ102">
        <v>0</v>
      </c>
      <c r="BA102">
        <v>0</v>
      </c>
      <c r="BB102">
        <v>0</v>
      </c>
      <c r="BC102" t="s">
        <v>311</v>
      </c>
      <c r="BD102" t="s">
        <v>311</v>
      </c>
      <c r="BE102" s="92">
        <v>0</v>
      </c>
      <c r="BF102" s="92">
        <v>0</v>
      </c>
      <c r="BG102" s="92">
        <v>0</v>
      </c>
      <c r="BH102" s="92">
        <v>0</v>
      </c>
      <c r="BI102" s="92">
        <v>0</v>
      </c>
      <c r="BJ102" s="92">
        <v>0</v>
      </c>
      <c r="BK102" s="92">
        <v>0</v>
      </c>
      <c r="BL102" s="92">
        <v>0</v>
      </c>
      <c r="BM102" s="92">
        <v>0</v>
      </c>
      <c r="BN102" s="92">
        <v>0</v>
      </c>
      <c r="BO102" s="92">
        <v>0</v>
      </c>
      <c r="BP102" s="92">
        <v>0</v>
      </c>
      <c r="BQ102" s="92">
        <v>0</v>
      </c>
      <c r="BR102" s="92">
        <v>0</v>
      </c>
      <c r="BS102" s="92">
        <v>0</v>
      </c>
      <c r="BT102" s="92">
        <v>0</v>
      </c>
      <c r="BU102" s="92">
        <v>0</v>
      </c>
      <c r="BV102" s="92">
        <v>0</v>
      </c>
      <c r="BW102" s="92" t="s">
        <v>311</v>
      </c>
      <c r="BX102" s="92" t="s">
        <v>311</v>
      </c>
      <c r="BY102" s="92" t="s">
        <v>317</v>
      </c>
    </row>
    <row r="103" spans="1:77" hidden="1" x14ac:dyDescent="0.25">
      <c r="A103" s="86" t="s">
        <v>89</v>
      </c>
      <c r="B103" s="86">
        <v>0</v>
      </c>
      <c r="C103" s="86">
        <v>0</v>
      </c>
      <c r="D103" s="86">
        <v>2</v>
      </c>
      <c r="E103" s="86">
        <v>0</v>
      </c>
      <c r="F103" s="86">
        <v>8</v>
      </c>
      <c r="G103" s="86">
        <v>0</v>
      </c>
      <c r="H103" s="86">
        <v>8</v>
      </c>
      <c r="I103" s="86">
        <v>12035</v>
      </c>
      <c r="J103" s="86">
        <v>3162</v>
      </c>
      <c r="K103" s="93">
        <v>0</v>
      </c>
      <c r="L103" s="93">
        <v>0</v>
      </c>
      <c r="M103" s="93">
        <v>1.6618196925633567E-4</v>
      </c>
      <c r="N103" s="93">
        <v>0</v>
      </c>
      <c r="O103" s="93">
        <v>6.647278770253427E-4</v>
      </c>
      <c r="P103" s="93">
        <v>0</v>
      </c>
      <c r="Q103" s="93">
        <v>5.2641968809633477E-4</v>
      </c>
      <c r="R103" s="86">
        <v>39</v>
      </c>
      <c r="S103" s="86">
        <v>40</v>
      </c>
      <c r="T103" s="86" t="s">
        <v>279</v>
      </c>
      <c r="U103" s="86" t="s">
        <v>285</v>
      </c>
      <c r="V103" t="s">
        <v>263</v>
      </c>
      <c r="W103">
        <v>101</v>
      </c>
      <c r="X103">
        <v>1</v>
      </c>
      <c r="Y103">
        <v>5928</v>
      </c>
      <c r="Z103">
        <v>2633</v>
      </c>
      <c r="AA103">
        <v>0</v>
      </c>
      <c r="AB103">
        <v>0</v>
      </c>
      <c r="AC103">
        <v>8663</v>
      </c>
      <c r="AD103" s="92">
        <v>8.3921894474449522E-3</v>
      </c>
      <c r="AE103" s="92">
        <v>3.1625553447185326E-4</v>
      </c>
      <c r="AF103" s="92">
        <v>0.49256335687577896</v>
      </c>
      <c r="AG103" s="92">
        <v>0.83270082226438957</v>
      </c>
      <c r="AH103" s="92">
        <v>0</v>
      </c>
      <c r="AI103" s="92">
        <v>0</v>
      </c>
      <c r="AJ103" s="92">
        <v>0.57004671974731858</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t="s">
        <v>311</v>
      </c>
      <c r="BD103" t="s">
        <v>311</v>
      </c>
      <c r="BE103" s="92">
        <v>0</v>
      </c>
      <c r="BF103" s="92">
        <v>0</v>
      </c>
      <c r="BG103" s="92">
        <v>0</v>
      </c>
      <c r="BH103" s="92">
        <v>0</v>
      </c>
      <c r="BI103" s="92">
        <v>0</v>
      </c>
      <c r="BJ103" s="92">
        <v>0</v>
      </c>
      <c r="BK103" s="92">
        <v>0</v>
      </c>
      <c r="BL103" s="92">
        <v>0</v>
      </c>
      <c r="BM103" s="92">
        <v>0</v>
      </c>
      <c r="BN103" s="92">
        <v>0</v>
      </c>
      <c r="BO103" s="92">
        <v>0</v>
      </c>
      <c r="BP103" s="92">
        <v>0</v>
      </c>
      <c r="BQ103" s="92">
        <v>0</v>
      </c>
      <c r="BR103" s="92">
        <v>0</v>
      </c>
      <c r="BS103" s="92">
        <v>0</v>
      </c>
      <c r="BT103" s="92">
        <v>0</v>
      </c>
      <c r="BU103" s="92">
        <v>0</v>
      </c>
      <c r="BV103" s="92">
        <v>0</v>
      </c>
      <c r="BW103" s="92" t="s">
        <v>311</v>
      </c>
      <c r="BX103" s="92" t="s">
        <v>311</v>
      </c>
      <c r="BY103" s="92" t="s">
        <v>317</v>
      </c>
    </row>
    <row r="104" spans="1:77" hidden="1" x14ac:dyDescent="0.25">
      <c r="A104" s="87" t="s">
        <v>90</v>
      </c>
      <c r="B104" s="87">
        <v>2</v>
      </c>
      <c r="C104" s="87">
        <v>0</v>
      </c>
      <c r="D104" s="87">
        <v>1</v>
      </c>
      <c r="E104" s="87">
        <v>0</v>
      </c>
      <c r="F104" s="87">
        <v>0</v>
      </c>
      <c r="G104" s="87">
        <v>0</v>
      </c>
      <c r="H104" s="87">
        <v>0</v>
      </c>
      <c r="I104" s="87">
        <v>12000</v>
      </c>
      <c r="J104" s="87">
        <v>1148</v>
      </c>
      <c r="K104" s="92">
        <v>1.6666666666666666E-4</v>
      </c>
      <c r="L104" s="92">
        <v>0</v>
      </c>
      <c r="M104" s="92">
        <v>8.3333333333333331E-5</v>
      </c>
      <c r="N104" s="92">
        <v>0</v>
      </c>
      <c r="O104" s="92">
        <v>0</v>
      </c>
      <c r="P104" s="92">
        <v>0</v>
      </c>
      <c r="Q104" s="92">
        <v>0</v>
      </c>
      <c r="R104" s="87">
        <v>46</v>
      </c>
      <c r="S104" s="87">
        <v>46</v>
      </c>
      <c r="T104" s="87" t="s">
        <v>279</v>
      </c>
      <c r="U104" s="87" t="s">
        <v>285</v>
      </c>
      <c r="V104" t="s">
        <v>263</v>
      </c>
      <c r="W104">
        <v>156</v>
      </c>
      <c r="X104">
        <v>18</v>
      </c>
      <c r="Y104">
        <v>8214</v>
      </c>
      <c r="Z104">
        <v>895</v>
      </c>
      <c r="AA104">
        <v>1235</v>
      </c>
      <c r="AB104">
        <v>226</v>
      </c>
      <c r="AC104">
        <v>10744</v>
      </c>
      <c r="AD104" s="92">
        <v>1.2999999999999999E-2</v>
      </c>
      <c r="AE104" s="92">
        <v>1.5679442508710801E-2</v>
      </c>
      <c r="AF104" s="92">
        <v>0.6845</v>
      </c>
      <c r="AG104" s="92">
        <v>0.77961672473867594</v>
      </c>
      <c r="AH104" s="92">
        <v>0.10291666666666667</v>
      </c>
      <c r="AI104" s="92">
        <v>0.19686411149825783</v>
      </c>
      <c r="AJ104" s="92">
        <v>0.8171585031944022</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t="s">
        <v>311</v>
      </c>
      <c r="BD104" t="s">
        <v>311</v>
      </c>
      <c r="BE104" s="92">
        <v>0</v>
      </c>
      <c r="BF104" s="92">
        <v>0</v>
      </c>
      <c r="BG104" s="92">
        <v>0</v>
      </c>
      <c r="BH104" s="92">
        <v>0</v>
      </c>
      <c r="BI104" s="92">
        <v>0</v>
      </c>
      <c r="BJ104" s="92">
        <v>0</v>
      </c>
      <c r="BK104" s="92">
        <v>0</v>
      </c>
      <c r="BL104" s="92">
        <v>0</v>
      </c>
      <c r="BM104" s="92">
        <v>0</v>
      </c>
      <c r="BN104" s="92">
        <v>0</v>
      </c>
      <c r="BO104" s="92">
        <v>0</v>
      </c>
      <c r="BP104" s="92">
        <v>0</v>
      </c>
      <c r="BQ104" s="92">
        <v>0</v>
      </c>
      <c r="BR104" s="92">
        <v>0</v>
      </c>
      <c r="BS104" s="92">
        <v>0</v>
      </c>
      <c r="BT104" s="92">
        <v>0</v>
      </c>
      <c r="BU104" s="92">
        <v>0</v>
      </c>
      <c r="BV104" s="92">
        <v>0</v>
      </c>
      <c r="BW104" s="92" t="s">
        <v>311</v>
      </c>
      <c r="BX104" s="92" t="s">
        <v>311</v>
      </c>
      <c r="BY104" s="92" t="s">
        <v>317</v>
      </c>
    </row>
    <row r="105" spans="1:77" hidden="1" x14ac:dyDescent="0.25">
      <c r="A105" s="86" t="s">
        <v>91</v>
      </c>
      <c r="B105" s="86" t="s">
        <v>311</v>
      </c>
      <c r="C105" s="86" t="s">
        <v>311</v>
      </c>
      <c r="D105" s="86" t="s">
        <v>311</v>
      </c>
      <c r="E105" s="86" t="s">
        <v>311</v>
      </c>
      <c r="F105" s="86">
        <v>0</v>
      </c>
      <c r="G105" s="86">
        <v>0</v>
      </c>
      <c r="H105" s="86">
        <v>0</v>
      </c>
      <c r="I105" s="86">
        <v>9379</v>
      </c>
      <c r="J105" s="86">
        <v>801</v>
      </c>
      <c r="K105" s="93" t="s">
        <v>311</v>
      </c>
      <c r="L105" s="93" t="s">
        <v>311</v>
      </c>
      <c r="M105" s="93" t="s">
        <v>311</v>
      </c>
      <c r="N105" s="93" t="s">
        <v>311</v>
      </c>
      <c r="O105" s="93">
        <v>0</v>
      </c>
      <c r="P105" s="93">
        <v>0</v>
      </c>
      <c r="Q105" s="93">
        <v>0</v>
      </c>
      <c r="R105" s="86">
        <v>46</v>
      </c>
      <c r="S105" s="86">
        <v>46</v>
      </c>
      <c r="T105" s="86" t="s">
        <v>279</v>
      </c>
      <c r="U105" s="86" t="s">
        <v>285</v>
      </c>
      <c r="V105" t="s">
        <v>263</v>
      </c>
      <c r="W105">
        <v>91</v>
      </c>
      <c r="X105">
        <v>1</v>
      </c>
      <c r="Y105">
        <v>8634</v>
      </c>
      <c r="Z105">
        <v>800</v>
      </c>
      <c r="AA105">
        <v>11</v>
      </c>
      <c r="AB105">
        <v>0</v>
      </c>
      <c r="AC105">
        <v>9537</v>
      </c>
      <c r="AD105" s="92">
        <v>9.7025269218466784E-3</v>
      </c>
      <c r="AE105" s="92">
        <v>1.2484394506866417E-3</v>
      </c>
      <c r="AF105" s="92">
        <v>0.92056722465081564</v>
      </c>
      <c r="AG105" s="92">
        <v>0.99875156054931336</v>
      </c>
      <c r="AH105" s="92">
        <v>1.1728329246188294E-3</v>
      </c>
      <c r="AI105" s="92">
        <v>0</v>
      </c>
      <c r="AJ105" s="92">
        <v>0.93683693516699407</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t="s">
        <v>311</v>
      </c>
      <c r="BD105" t="s">
        <v>311</v>
      </c>
      <c r="BE105" s="92">
        <v>0</v>
      </c>
      <c r="BF105" s="92">
        <v>0</v>
      </c>
      <c r="BG105" s="92">
        <v>0</v>
      </c>
      <c r="BH105" s="92">
        <v>0</v>
      </c>
      <c r="BI105" s="92">
        <v>0</v>
      </c>
      <c r="BJ105" s="92">
        <v>0</v>
      </c>
      <c r="BK105" s="92">
        <v>0</v>
      </c>
      <c r="BL105" s="92">
        <v>0</v>
      </c>
      <c r="BM105" s="92">
        <v>0</v>
      </c>
      <c r="BN105" s="92">
        <v>0</v>
      </c>
      <c r="BO105" s="92">
        <v>0</v>
      </c>
      <c r="BP105" s="92">
        <v>0</v>
      </c>
      <c r="BQ105" s="92">
        <v>0</v>
      </c>
      <c r="BR105" s="92">
        <v>0</v>
      </c>
      <c r="BS105" s="92">
        <v>0</v>
      </c>
      <c r="BT105" s="92">
        <v>0</v>
      </c>
      <c r="BU105" s="92">
        <v>0</v>
      </c>
      <c r="BV105" s="92">
        <v>0</v>
      </c>
      <c r="BW105" s="92" t="s">
        <v>311</v>
      </c>
      <c r="BX105" s="92" t="s">
        <v>311</v>
      </c>
      <c r="BY105" s="92" t="s">
        <v>317</v>
      </c>
    </row>
    <row r="106" spans="1:77" hidden="1" x14ac:dyDescent="0.25">
      <c r="A106" s="87" t="s">
        <v>92</v>
      </c>
      <c r="B106" s="87">
        <v>31</v>
      </c>
      <c r="C106" s="87">
        <v>0</v>
      </c>
      <c r="D106" s="87">
        <v>2</v>
      </c>
      <c r="E106" s="87">
        <v>0</v>
      </c>
      <c r="F106" s="87">
        <v>0</v>
      </c>
      <c r="G106" s="87">
        <v>0</v>
      </c>
      <c r="H106" s="87">
        <v>0</v>
      </c>
      <c r="I106" s="87">
        <v>3089</v>
      </c>
      <c r="J106" s="87">
        <v>3</v>
      </c>
      <c r="K106" s="92">
        <v>1.0035610229847848E-2</v>
      </c>
      <c r="L106" s="92">
        <v>0</v>
      </c>
      <c r="M106" s="92">
        <v>6.4745872450631275E-4</v>
      </c>
      <c r="N106" s="92">
        <v>0</v>
      </c>
      <c r="O106" s="92">
        <v>0</v>
      </c>
      <c r="P106" s="92">
        <v>0</v>
      </c>
      <c r="Q106" s="92">
        <v>0</v>
      </c>
      <c r="R106" s="87">
        <v>46</v>
      </c>
      <c r="S106" s="87">
        <v>46</v>
      </c>
      <c r="T106" s="87" t="s">
        <v>279</v>
      </c>
      <c r="U106" s="87" t="s">
        <v>285</v>
      </c>
      <c r="V106" t="s">
        <v>263</v>
      </c>
      <c r="W106">
        <v>53</v>
      </c>
      <c r="X106">
        <v>0</v>
      </c>
      <c r="Y106">
        <v>2800</v>
      </c>
      <c r="Z106">
        <v>3</v>
      </c>
      <c r="AA106">
        <v>0</v>
      </c>
      <c r="AB106">
        <v>0</v>
      </c>
      <c r="AC106">
        <v>2856</v>
      </c>
      <c r="AD106" s="92">
        <v>1.7157656199417289E-2</v>
      </c>
      <c r="AE106" s="92">
        <v>0</v>
      </c>
      <c r="AF106" s="92">
        <v>0.90644221430883776</v>
      </c>
      <c r="AG106" s="92">
        <v>1</v>
      </c>
      <c r="AH106" s="92">
        <v>0</v>
      </c>
      <c r="AI106" s="92">
        <v>0</v>
      </c>
      <c r="AJ106" s="92">
        <v>0.92367399741267786</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t="s">
        <v>311</v>
      </c>
      <c r="BD106" t="s">
        <v>311</v>
      </c>
      <c r="BE106" s="92">
        <v>0</v>
      </c>
      <c r="BF106" s="92">
        <v>0</v>
      </c>
      <c r="BG106" s="92">
        <v>0</v>
      </c>
      <c r="BH106" s="92">
        <v>0</v>
      </c>
      <c r="BI106" s="92">
        <v>0</v>
      </c>
      <c r="BJ106" s="92">
        <v>0</v>
      </c>
      <c r="BK106" s="92">
        <v>0</v>
      </c>
      <c r="BL106" s="92">
        <v>0</v>
      </c>
      <c r="BM106" s="92">
        <v>0</v>
      </c>
      <c r="BN106" s="92">
        <v>0</v>
      </c>
      <c r="BO106" s="92">
        <v>0</v>
      </c>
      <c r="BP106" s="92">
        <v>0</v>
      </c>
      <c r="BQ106" s="92">
        <v>0</v>
      </c>
      <c r="BR106" s="92">
        <v>0</v>
      </c>
      <c r="BS106" s="92">
        <v>0</v>
      </c>
      <c r="BT106" s="92">
        <v>0</v>
      </c>
      <c r="BU106" s="92">
        <v>0</v>
      </c>
      <c r="BV106" s="92">
        <v>0</v>
      </c>
      <c r="BW106" s="92" t="s">
        <v>311</v>
      </c>
      <c r="BX106" s="92" t="s">
        <v>311</v>
      </c>
      <c r="BY106" s="92" t="s">
        <v>317</v>
      </c>
    </row>
    <row r="107" spans="1:77" hidden="1" x14ac:dyDescent="0.25">
      <c r="A107" s="86" t="s">
        <v>93</v>
      </c>
      <c r="B107" s="86">
        <v>0</v>
      </c>
      <c r="C107" s="86">
        <v>0</v>
      </c>
      <c r="D107" s="86">
        <v>17</v>
      </c>
      <c r="E107" s="86">
        <v>0</v>
      </c>
      <c r="F107" s="86">
        <v>2247</v>
      </c>
      <c r="G107" s="86">
        <v>196</v>
      </c>
      <c r="H107" s="86">
        <v>2443</v>
      </c>
      <c r="I107" s="86">
        <v>7497</v>
      </c>
      <c r="J107" s="86">
        <v>2285</v>
      </c>
      <c r="K107" s="93">
        <v>0</v>
      </c>
      <c r="L107" s="93">
        <v>0</v>
      </c>
      <c r="M107" s="93">
        <v>2.2675736961451248E-3</v>
      </c>
      <c r="N107" s="93">
        <v>0</v>
      </c>
      <c r="O107" s="93">
        <v>0.29971988795518206</v>
      </c>
      <c r="P107" s="93">
        <v>8.5776805251641136E-2</v>
      </c>
      <c r="Q107" s="93">
        <v>0.2497444285422204</v>
      </c>
      <c r="R107" s="86">
        <v>12</v>
      </c>
      <c r="S107" s="86">
        <v>8</v>
      </c>
      <c r="T107" s="86" t="s">
        <v>279</v>
      </c>
      <c r="U107" s="86" t="s">
        <v>286</v>
      </c>
      <c r="V107" t="s">
        <v>263</v>
      </c>
      <c r="W107">
        <v>26</v>
      </c>
      <c r="X107">
        <v>0</v>
      </c>
      <c r="Y107">
        <v>6447</v>
      </c>
      <c r="Z107">
        <v>2264</v>
      </c>
      <c r="AA107">
        <v>0</v>
      </c>
      <c r="AB107">
        <v>0</v>
      </c>
      <c r="AC107">
        <v>8737</v>
      </c>
      <c r="AD107" s="92">
        <v>3.4680538882219556E-3</v>
      </c>
      <c r="AE107" s="92">
        <v>0</v>
      </c>
      <c r="AF107" s="92">
        <v>0.85994397759103647</v>
      </c>
      <c r="AG107" s="92">
        <v>0.99080962800875272</v>
      </c>
      <c r="AH107" s="92">
        <v>0</v>
      </c>
      <c r="AI107" s="92">
        <v>0</v>
      </c>
      <c r="AJ107" s="92">
        <v>0.89317113064812925</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t="s">
        <v>311</v>
      </c>
      <c r="BD107" t="s">
        <v>311</v>
      </c>
      <c r="BE107" s="92">
        <v>0</v>
      </c>
      <c r="BF107" s="92">
        <v>0</v>
      </c>
      <c r="BG107" s="92">
        <v>0</v>
      </c>
      <c r="BH107" s="92">
        <v>0</v>
      </c>
      <c r="BI107" s="92">
        <v>0</v>
      </c>
      <c r="BJ107" s="92">
        <v>0</v>
      </c>
      <c r="BK107" s="92">
        <v>0</v>
      </c>
      <c r="BL107" s="92">
        <v>0</v>
      </c>
      <c r="BM107" s="92">
        <v>0</v>
      </c>
      <c r="BN107" s="92">
        <v>0</v>
      </c>
      <c r="BO107" s="92">
        <v>0</v>
      </c>
      <c r="BP107" s="92">
        <v>0</v>
      </c>
      <c r="BQ107" s="92">
        <v>0</v>
      </c>
      <c r="BR107" s="92">
        <v>0</v>
      </c>
      <c r="BS107" s="92">
        <v>0</v>
      </c>
      <c r="BT107" s="92">
        <v>0</v>
      </c>
      <c r="BU107" s="92">
        <v>0</v>
      </c>
      <c r="BV107" s="92">
        <v>0</v>
      </c>
      <c r="BW107" s="92" t="s">
        <v>311</v>
      </c>
      <c r="BX107" s="92" t="s">
        <v>311</v>
      </c>
      <c r="BY107" s="92" t="s">
        <v>317</v>
      </c>
    </row>
    <row r="108" spans="1:77" hidden="1" x14ac:dyDescent="0.25">
      <c r="A108" s="87" t="s">
        <v>94</v>
      </c>
      <c r="B108" s="87">
        <v>0</v>
      </c>
      <c r="C108" s="87">
        <v>0</v>
      </c>
      <c r="D108" s="87">
        <v>1</v>
      </c>
      <c r="E108" s="87">
        <v>0</v>
      </c>
      <c r="F108" s="87">
        <v>0</v>
      </c>
      <c r="G108" s="87">
        <v>0</v>
      </c>
      <c r="H108" s="87">
        <v>0</v>
      </c>
      <c r="I108" s="87">
        <v>12817</v>
      </c>
      <c r="J108" s="87">
        <v>4508</v>
      </c>
      <c r="K108" s="92">
        <v>0</v>
      </c>
      <c r="L108" s="92">
        <v>0</v>
      </c>
      <c r="M108" s="92">
        <v>7.8021377857532959E-5</v>
      </c>
      <c r="N108" s="92">
        <v>0</v>
      </c>
      <c r="O108" s="92">
        <v>0</v>
      </c>
      <c r="P108" s="92">
        <v>0</v>
      </c>
      <c r="Q108" s="92">
        <v>0</v>
      </c>
      <c r="R108" s="87">
        <v>46</v>
      </c>
      <c r="S108" s="87">
        <v>46</v>
      </c>
      <c r="T108" s="87" t="s">
        <v>279</v>
      </c>
      <c r="U108" s="87" t="s">
        <v>288</v>
      </c>
      <c r="V108" t="s">
        <v>263</v>
      </c>
      <c r="W108">
        <v>2297</v>
      </c>
      <c r="X108">
        <v>1878</v>
      </c>
      <c r="Y108">
        <v>4717</v>
      </c>
      <c r="Z108">
        <v>1509</v>
      </c>
      <c r="AA108">
        <v>46</v>
      </c>
      <c r="AB108">
        <v>206</v>
      </c>
      <c r="AC108">
        <v>10653</v>
      </c>
      <c r="AD108" s="92">
        <v>0.17921510493875323</v>
      </c>
      <c r="AE108" s="92">
        <v>0.41659272404614017</v>
      </c>
      <c r="AF108" s="92">
        <v>0.368026839353983</v>
      </c>
      <c r="AG108" s="92">
        <v>0.33473824312333628</v>
      </c>
      <c r="AH108" s="92">
        <v>3.5889833814465163E-3</v>
      </c>
      <c r="AI108" s="92">
        <v>4.5696539485359358E-2</v>
      </c>
      <c r="AJ108" s="92">
        <v>0.61489177489177493</v>
      </c>
      <c r="AK108">
        <v>4</v>
      </c>
      <c r="AL108">
        <v>0</v>
      </c>
      <c r="AM108">
        <v>4</v>
      </c>
      <c r="AN108">
        <v>0</v>
      </c>
      <c r="AO108">
        <v>5</v>
      </c>
      <c r="AP108">
        <v>0</v>
      </c>
      <c r="AQ108">
        <v>5</v>
      </c>
      <c r="AR108">
        <v>0</v>
      </c>
      <c r="AS108">
        <v>8</v>
      </c>
      <c r="AT108">
        <v>0</v>
      </c>
      <c r="AU108">
        <v>84</v>
      </c>
      <c r="AV108">
        <v>132</v>
      </c>
      <c r="AW108">
        <v>750</v>
      </c>
      <c r="AX108">
        <v>323</v>
      </c>
      <c r="AY108">
        <v>1364</v>
      </c>
      <c r="AZ108">
        <v>463</v>
      </c>
      <c r="BA108">
        <v>1955</v>
      </c>
      <c r="BB108">
        <v>651</v>
      </c>
      <c r="BC108" t="s">
        <v>311</v>
      </c>
      <c r="BD108" t="s">
        <v>311</v>
      </c>
      <c r="BE108" s="92">
        <v>3.1208551143013184E-4</v>
      </c>
      <c r="BF108" s="92">
        <v>0</v>
      </c>
      <c r="BG108" s="92">
        <v>3.1208551143013184E-4</v>
      </c>
      <c r="BH108" s="92">
        <v>0</v>
      </c>
      <c r="BI108" s="92">
        <v>3.9010688928766481E-4</v>
      </c>
      <c r="BJ108" s="92">
        <v>0</v>
      </c>
      <c r="BK108" s="92">
        <v>3.9010688928766481E-4</v>
      </c>
      <c r="BL108" s="92">
        <v>0</v>
      </c>
      <c r="BM108" s="92">
        <v>6.2417102286026367E-4</v>
      </c>
      <c r="BN108" s="92">
        <v>0</v>
      </c>
      <c r="BO108" s="92">
        <v>6.5537957400327689E-3</v>
      </c>
      <c r="BP108" s="92">
        <v>2.9281277728482696E-2</v>
      </c>
      <c r="BQ108" s="92">
        <v>5.8516033393149723E-2</v>
      </c>
      <c r="BR108" s="92">
        <v>7.1650399290150837E-2</v>
      </c>
      <c r="BS108" s="92">
        <v>0.10642115939767496</v>
      </c>
      <c r="BT108" s="92">
        <v>0.10270629991126885</v>
      </c>
      <c r="BU108" s="92">
        <v>0.15253179371147693</v>
      </c>
      <c r="BV108" s="92">
        <v>0.14440993788819875</v>
      </c>
      <c r="BW108" s="92" t="s">
        <v>311</v>
      </c>
      <c r="BX108" s="92" t="s">
        <v>311</v>
      </c>
      <c r="BY108" s="92" t="s">
        <v>317</v>
      </c>
    </row>
    <row r="109" spans="1:77" hidden="1" x14ac:dyDescent="0.25">
      <c r="A109" s="86" t="s">
        <v>95</v>
      </c>
      <c r="B109" s="86" t="s">
        <v>311</v>
      </c>
      <c r="C109" s="86" t="s">
        <v>311</v>
      </c>
      <c r="D109" s="86" t="s">
        <v>311</v>
      </c>
      <c r="E109" s="86" t="s">
        <v>311</v>
      </c>
      <c r="F109" s="86">
        <v>418</v>
      </c>
      <c r="G109" s="86">
        <v>0</v>
      </c>
      <c r="H109" s="86">
        <v>418</v>
      </c>
      <c r="I109" s="86">
        <v>1232</v>
      </c>
      <c r="J109" s="86">
        <v>0</v>
      </c>
      <c r="K109" s="93" t="s">
        <v>311</v>
      </c>
      <c r="L109" s="93" t="s">
        <v>311</v>
      </c>
      <c r="M109" s="93" t="s">
        <v>311</v>
      </c>
      <c r="N109" s="93" t="s">
        <v>311</v>
      </c>
      <c r="O109" s="93">
        <v>0.3392857142857143</v>
      </c>
      <c r="P109" s="93">
        <v>0</v>
      </c>
      <c r="Q109" s="93">
        <v>0.3392857142857143</v>
      </c>
      <c r="R109" s="86">
        <v>28</v>
      </c>
      <c r="S109" s="86">
        <v>3</v>
      </c>
      <c r="T109" s="86" t="s">
        <v>279</v>
      </c>
      <c r="U109" s="86" t="s">
        <v>286</v>
      </c>
      <c r="V109" t="s">
        <v>263</v>
      </c>
      <c r="W109">
        <v>1</v>
      </c>
      <c r="X109">
        <v>0</v>
      </c>
      <c r="Y109">
        <v>7</v>
      </c>
      <c r="Z109">
        <v>0</v>
      </c>
      <c r="AA109">
        <v>0</v>
      </c>
      <c r="AB109">
        <v>0</v>
      </c>
      <c r="AC109">
        <v>8</v>
      </c>
      <c r="AD109" s="92">
        <v>8.1168831168831174E-4</v>
      </c>
      <c r="AE109" s="92" t="e">
        <v>#DIV/0!</v>
      </c>
      <c r="AF109" s="92">
        <v>5.681818181818182E-3</v>
      </c>
      <c r="AG109" s="92" t="e">
        <v>#DIV/0!</v>
      </c>
      <c r="AH109" s="92">
        <v>0</v>
      </c>
      <c r="AI109" s="92" t="e">
        <v>#DIV/0!</v>
      </c>
      <c r="AJ109" s="92">
        <v>6.4935064935064939E-3</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t="s">
        <v>311</v>
      </c>
      <c r="BD109" t="s">
        <v>311</v>
      </c>
      <c r="BE109" s="92">
        <v>0</v>
      </c>
      <c r="BF109" s="92" t="e">
        <v>#DIV/0!</v>
      </c>
      <c r="BG109" s="92">
        <v>0</v>
      </c>
      <c r="BH109" s="92" t="e">
        <v>#DIV/0!</v>
      </c>
      <c r="BI109" s="92">
        <v>0</v>
      </c>
      <c r="BJ109" s="92" t="e">
        <v>#DIV/0!</v>
      </c>
      <c r="BK109" s="92">
        <v>0</v>
      </c>
      <c r="BL109" s="92" t="e">
        <v>#DIV/0!</v>
      </c>
      <c r="BM109" s="92">
        <v>0</v>
      </c>
      <c r="BN109" s="92" t="e">
        <v>#DIV/0!</v>
      </c>
      <c r="BO109" s="92">
        <v>0</v>
      </c>
      <c r="BP109" s="92" t="e">
        <v>#DIV/0!</v>
      </c>
      <c r="BQ109" s="92">
        <v>0</v>
      </c>
      <c r="BR109" s="92" t="e">
        <v>#DIV/0!</v>
      </c>
      <c r="BS109" s="92">
        <v>0</v>
      </c>
      <c r="BT109" s="92" t="e">
        <v>#DIV/0!</v>
      </c>
      <c r="BU109" s="92">
        <v>0</v>
      </c>
      <c r="BV109" s="92" t="e">
        <v>#DIV/0!</v>
      </c>
      <c r="BW109" s="92" t="s">
        <v>311</v>
      </c>
      <c r="BX109" s="92" t="s">
        <v>311</v>
      </c>
      <c r="BY109" s="92" t="s">
        <v>317</v>
      </c>
    </row>
    <row r="110" spans="1:77" hidden="1" x14ac:dyDescent="0.25">
      <c r="A110" s="87" t="s">
        <v>96</v>
      </c>
      <c r="B110" s="87" t="s">
        <v>311</v>
      </c>
      <c r="C110" s="87" t="s">
        <v>311</v>
      </c>
      <c r="D110" s="87" t="s">
        <v>311</v>
      </c>
      <c r="E110" s="87" t="s">
        <v>311</v>
      </c>
      <c r="F110" s="87">
        <v>1495</v>
      </c>
      <c r="G110" s="87">
        <v>184</v>
      </c>
      <c r="H110" s="87">
        <v>1679</v>
      </c>
      <c r="I110" s="87">
        <v>9967</v>
      </c>
      <c r="J110" s="87">
        <v>1777</v>
      </c>
      <c r="K110" s="92" t="s">
        <v>311</v>
      </c>
      <c r="L110" s="92" t="s">
        <v>311</v>
      </c>
      <c r="M110" s="92" t="s">
        <v>311</v>
      </c>
      <c r="N110" s="92" t="s">
        <v>311</v>
      </c>
      <c r="O110" s="92">
        <v>0.14999498344536971</v>
      </c>
      <c r="P110" s="92">
        <v>0.10354530106921778</v>
      </c>
      <c r="Q110" s="92">
        <v>0.14296662125340601</v>
      </c>
      <c r="R110" s="87">
        <v>16</v>
      </c>
      <c r="S110" s="87">
        <v>16</v>
      </c>
      <c r="T110" s="87" t="s">
        <v>279</v>
      </c>
      <c r="U110" s="87" t="s">
        <v>288</v>
      </c>
      <c r="V110" t="s">
        <v>263</v>
      </c>
      <c r="W110">
        <v>444</v>
      </c>
      <c r="X110">
        <v>210</v>
      </c>
      <c r="Y110">
        <v>8516</v>
      </c>
      <c r="Z110">
        <v>1550</v>
      </c>
      <c r="AA110">
        <v>0</v>
      </c>
      <c r="AB110">
        <v>0</v>
      </c>
      <c r="AC110">
        <v>10720</v>
      </c>
      <c r="AD110" s="92">
        <v>4.4547005116885724E-2</v>
      </c>
      <c r="AE110" s="92">
        <v>0.11817670230725942</v>
      </c>
      <c r="AF110" s="92">
        <v>0.85441958462927659</v>
      </c>
      <c r="AG110" s="92">
        <v>0.87225661226786722</v>
      </c>
      <c r="AH110" s="92">
        <v>0</v>
      </c>
      <c r="AI110" s="92">
        <v>0</v>
      </c>
      <c r="AJ110" s="92">
        <v>0.91280653950953683</v>
      </c>
      <c r="AK110">
        <v>0</v>
      </c>
      <c r="AL110">
        <v>0</v>
      </c>
      <c r="AM110">
        <v>0</v>
      </c>
      <c r="AN110">
        <v>0</v>
      </c>
      <c r="AO110">
        <v>0</v>
      </c>
      <c r="AP110">
        <v>0</v>
      </c>
      <c r="AQ110">
        <v>0</v>
      </c>
      <c r="AR110">
        <v>0</v>
      </c>
      <c r="AS110">
        <v>0</v>
      </c>
      <c r="AT110">
        <v>0</v>
      </c>
      <c r="AU110">
        <v>0</v>
      </c>
      <c r="AV110">
        <v>0</v>
      </c>
      <c r="AW110">
        <v>0</v>
      </c>
      <c r="AX110">
        <v>0</v>
      </c>
      <c r="AY110">
        <v>0</v>
      </c>
      <c r="AZ110">
        <v>0</v>
      </c>
      <c r="BA110">
        <v>0</v>
      </c>
      <c r="BB110">
        <v>0</v>
      </c>
      <c r="BC110" t="s">
        <v>311</v>
      </c>
      <c r="BD110" t="s">
        <v>311</v>
      </c>
      <c r="BE110" s="92">
        <v>0</v>
      </c>
      <c r="BF110" s="92">
        <v>0</v>
      </c>
      <c r="BG110" s="92">
        <v>0</v>
      </c>
      <c r="BH110" s="92">
        <v>0</v>
      </c>
      <c r="BI110" s="92">
        <v>0</v>
      </c>
      <c r="BJ110" s="92">
        <v>0</v>
      </c>
      <c r="BK110" s="92">
        <v>0</v>
      </c>
      <c r="BL110" s="92">
        <v>0</v>
      </c>
      <c r="BM110" s="92">
        <v>0</v>
      </c>
      <c r="BN110" s="92">
        <v>0</v>
      </c>
      <c r="BO110" s="92">
        <v>0</v>
      </c>
      <c r="BP110" s="92">
        <v>0</v>
      </c>
      <c r="BQ110" s="92">
        <v>0</v>
      </c>
      <c r="BR110" s="92">
        <v>0</v>
      </c>
      <c r="BS110" s="92">
        <v>0</v>
      </c>
      <c r="BT110" s="92">
        <v>0</v>
      </c>
      <c r="BU110" s="92">
        <v>0</v>
      </c>
      <c r="BV110" s="92">
        <v>0</v>
      </c>
      <c r="BW110" s="92" t="s">
        <v>311</v>
      </c>
      <c r="BX110" s="92" t="s">
        <v>311</v>
      </c>
      <c r="BY110" s="92" t="s">
        <v>317</v>
      </c>
    </row>
    <row r="111" spans="1:77" hidden="1" x14ac:dyDescent="0.25">
      <c r="A111" s="86" t="s">
        <v>97</v>
      </c>
      <c r="B111" s="86" t="s">
        <v>311</v>
      </c>
      <c r="C111" s="86" t="s">
        <v>311</v>
      </c>
      <c r="D111" s="86" t="s">
        <v>311</v>
      </c>
      <c r="E111" s="86" t="s">
        <v>311</v>
      </c>
      <c r="F111" s="86">
        <v>0</v>
      </c>
      <c r="G111" s="86">
        <v>0</v>
      </c>
      <c r="H111" s="86">
        <v>0</v>
      </c>
      <c r="I111" s="86">
        <v>9463</v>
      </c>
      <c r="J111" s="86">
        <v>6838</v>
      </c>
      <c r="K111" s="93" t="s">
        <v>311</v>
      </c>
      <c r="L111" s="93" t="s">
        <v>311</v>
      </c>
      <c r="M111" s="93" t="s">
        <v>311</v>
      </c>
      <c r="N111" s="93" t="s">
        <v>311</v>
      </c>
      <c r="O111" s="93">
        <v>0</v>
      </c>
      <c r="P111" s="93">
        <v>0</v>
      </c>
      <c r="Q111" s="93">
        <v>0</v>
      </c>
      <c r="R111" s="86">
        <v>46</v>
      </c>
      <c r="S111" s="86">
        <v>46</v>
      </c>
      <c r="T111" s="86" t="s">
        <v>279</v>
      </c>
      <c r="U111" s="86" t="s">
        <v>286</v>
      </c>
      <c r="V111" t="s">
        <v>263</v>
      </c>
      <c r="W111">
        <v>239</v>
      </c>
      <c r="X111">
        <v>289</v>
      </c>
      <c r="Y111">
        <v>640</v>
      </c>
      <c r="Z111">
        <v>159</v>
      </c>
      <c r="AA111">
        <v>8581</v>
      </c>
      <c r="AB111">
        <v>6390</v>
      </c>
      <c r="AC111">
        <v>16298</v>
      </c>
      <c r="AD111" s="92">
        <v>2.5256261227940398E-2</v>
      </c>
      <c r="AE111" s="92">
        <v>4.2263819830359754E-2</v>
      </c>
      <c r="AF111" s="92">
        <v>6.7631829229631193E-2</v>
      </c>
      <c r="AG111" s="92">
        <v>2.3252412986253291E-2</v>
      </c>
      <c r="AH111" s="92">
        <v>0.90679488534291453</v>
      </c>
      <c r="AI111" s="92">
        <v>0.93448376718338699</v>
      </c>
      <c r="AJ111" s="92">
        <v>0.99981596221090729</v>
      </c>
      <c r="AK111">
        <v>4</v>
      </c>
      <c r="AL111">
        <v>0</v>
      </c>
      <c r="AM111">
        <v>5</v>
      </c>
      <c r="AN111">
        <v>0</v>
      </c>
      <c r="AO111">
        <v>9</v>
      </c>
      <c r="AP111">
        <v>0</v>
      </c>
      <c r="AQ111">
        <v>12</v>
      </c>
      <c r="AR111">
        <v>0</v>
      </c>
      <c r="AS111">
        <v>21</v>
      </c>
      <c r="AT111">
        <v>0</v>
      </c>
      <c r="AU111">
        <v>21</v>
      </c>
      <c r="AV111">
        <v>1</v>
      </c>
      <c r="AW111">
        <v>27</v>
      </c>
      <c r="AX111">
        <v>11</v>
      </c>
      <c r="AY111">
        <v>33</v>
      </c>
      <c r="AZ111">
        <v>30</v>
      </c>
      <c r="BA111">
        <v>50</v>
      </c>
      <c r="BB111">
        <v>52</v>
      </c>
      <c r="BC111" t="s">
        <v>311</v>
      </c>
      <c r="BD111" t="s">
        <v>311</v>
      </c>
      <c r="BE111" s="92">
        <v>4.2269893268519497E-4</v>
      </c>
      <c r="BF111" s="92">
        <v>0</v>
      </c>
      <c r="BG111" s="92">
        <v>5.283736658564937E-4</v>
      </c>
      <c r="BH111" s="92">
        <v>0</v>
      </c>
      <c r="BI111" s="92">
        <v>9.5107259854168872E-4</v>
      </c>
      <c r="BJ111" s="92">
        <v>0</v>
      </c>
      <c r="BK111" s="92">
        <v>1.268096798055585E-3</v>
      </c>
      <c r="BL111" s="92">
        <v>0</v>
      </c>
      <c r="BM111" s="92">
        <v>2.2191693965972737E-3</v>
      </c>
      <c r="BN111" s="92">
        <v>0</v>
      </c>
      <c r="BO111" s="92">
        <v>2.2191693965972737E-3</v>
      </c>
      <c r="BP111" s="92">
        <v>1.4624159110851126E-4</v>
      </c>
      <c r="BQ111" s="92">
        <v>2.8532177956250662E-3</v>
      </c>
      <c r="BR111" s="92">
        <v>1.6086575021936238E-3</v>
      </c>
      <c r="BS111" s="92">
        <v>3.4872661946528587E-3</v>
      </c>
      <c r="BT111" s="92">
        <v>4.3872477332553379E-3</v>
      </c>
      <c r="BU111" s="92">
        <v>5.2837366585649368E-3</v>
      </c>
      <c r="BV111" s="92">
        <v>7.6045627376425855E-3</v>
      </c>
      <c r="BW111" s="92" t="s">
        <v>311</v>
      </c>
      <c r="BX111" s="92" t="s">
        <v>311</v>
      </c>
      <c r="BY111" s="92" t="s">
        <v>317</v>
      </c>
    </row>
    <row r="112" spans="1:77" hidden="1" x14ac:dyDescent="0.25">
      <c r="A112" s="87" t="s">
        <v>98</v>
      </c>
      <c r="B112" s="87" t="s">
        <v>311</v>
      </c>
      <c r="C112" s="87" t="s">
        <v>311</v>
      </c>
      <c r="D112" s="87" t="s">
        <v>311</v>
      </c>
      <c r="E112" s="87" t="s">
        <v>311</v>
      </c>
      <c r="F112" s="87">
        <v>0</v>
      </c>
      <c r="G112" s="87">
        <v>0</v>
      </c>
      <c r="H112" s="87">
        <v>0</v>
      </c>
      <c r="I112" s="87">
        <v>15247</v>
      </c>
      <c r="J112" s="87">
        <v>2721</v>
      </c>
      <c r="K112" s="92" t="s">
        <v>311</v>
      </c>
      <c r="L112" s="92" t="s">
        <v>311</v>
      </c>
      <c r="M112" s="92" t="s">
        <v>311</v>
      </c>
      <c r="N112" s="92" t="s">
        <v>311</v>
      </c>
      <c r="O112" s="92">
        <v>0</v>
      </c>
      <c r="P112" s="92">
        <v>0</v>
      </c>
      <c r="Q112" s="92">
        <v>0</v>
      </c>
      <c r="R112" s="87">
        <v>46</v>
      </c>
      <c r="S112" s="87">
        <v>46</v>
      </c>
      <c r="T112" s="87" t="s">
        <v>279</v>
      </c>
      <c r="U112" s="87" t="s">
        <v>286</v>
      </c>
      <c r="V112" t="s">
        <v>263</v>
      </c>
      <c r="W112">
        <v>4155</v>
      </c>
      <c r="X112">
        <v>532</v>
      </c>
      <c r="Y112">
        <v>11082</v>
      </c>
      <c r="Z112">
        <v>2173</v>
      </c>
      <c r="AA112">
        <v>2</v>
      </c>
      <c r="AB112">
        <v>16</v>
      </c>
      <c r="AC112">
        <v>17960</v>
      </c>
      <c r="AD112" s="92">
        <v>0.27251262543451171</v>
      </c>
      <c r="AE112" s="92">
        <v>0.19551635428151415</v>
      </c>
      <c r="AF112" s="92">
        <v>0.72683150783760742</v>
      </c>
      <c r="AG112" s="92">
        <v>0.79860345461227489</v>
      </c>
      <c r="AH112" s="92">
        <v>1.3117334557617892E-4</v>
      </c>
      <c r="AI112" s="92">
        <v>5.8801911062109522E-3</v>
      </c>
      <c r="AJ112" s="92">
        <v>0.99955476402493326</v>
      </c>
      <c r="AK112">
        <v>0</v>
      </c>
      <c r="AL112">
        <v>0</v>
      </c>
      <c r="AM112">
        <v>1</v>
      </c>
      <c r="AN112">
        <v>0</v>
      </c>
      <c r="AO112">
        <v>1854</v>
      </c>
      <c r="AP112">
        <v>240</v>
      </c>
      <c r="AQ112">
        <v>2231</v>
      </c>
      <c r="AR112">
        <v>327</v>
      </c>
      <c r="AS112">
        <v>2850</v>
      </c>
      <c r="AT112">
        <v>461</v>
      </c>
      <c r="AU112">
        <v>3230</v>
      </c>
      <c r="AV112">
        <v>492</v>
      </c>
      <c r="AW112">
        <v>3438</v>
      </c>
      <c r="AX112">
        <v>523</v>
      </c>
      <c r="AY112">
        <v>3781</v>
      </c>
      <c r="AZ112">
        <v>612</v>
      </c>
      <c r="BA112">
        <v>4062</v>
      </c>
      <c r="BB112">
        <v>685</v>
      </c>
      <c r="BC112" t="s">
        <v>311</v>
      </c>
      <c r="BD112" t="s">
        <v>311</v>
      </c>
      <c r="BE112" s="92">
        <v>0</v>
      </c>
      <c r="BF112" s="92">
        <v>0</v>
      </c>
      <c r="BG112" s="92">
        <v>6.5586672788089459E-5</v>
      </c>
      <c r="BH112" s="92">
        <v>0</v>
      </c>
      <c r="BI112" s="92">
        <v>0.12159769134911785</v>
      </c>
      <c r="BJ112" s="92">
        <v>8.8202866593164272E-2</v>
      </c>
      <c r="BK112" s="92">
        <v>0.14632386699022759</v>
      </c>
      <c r="BL112" s="92">
        <v>0.12017640573318633</v>
      </c>
      <c r="BM112" s="92">
        <v>0.18692201744605497</v>
      </c>
      <c r="BN112" s="92">
        <v>0.16942300624770304</v>
      </c>
      <c r="BO112" s="92">
        <v>0.21184495310552895</v>
      </c>
      <c r="BP112" s="92">
        <v>0.18081587651598677</v>
      </c>
      <c r="BQ112" s="92">
        <v>0.22548698104545156</v>
      </c>
      <c r="BR112" s="92">
        <v>0.1922087467842705</v>
      </c>
      <c r="BS112" s="92">
        <v>0.24798320981176625</v>
      </c>
      <c r="BT112" s="92">
        <v>0.22491730981256891</v>
      </c>
      <c r="BU112" s="92">
        <v>0.26641306486521937</v>
      </c>
      <c r="BV112" s="92">
        <v>0.25174568173465639</v>
      </c>
      <c r="BW112" s="92" t="s">
        <v>311</v>
      </c>
      <c r="BX112" s="92" t="s">
        <v>311</v>
      </c>
      <c r="BY112" s="92" t="s">
        <v>317</v>
      </c>
    </row>
    <row r="113" spans="1:77" hidden="1" x14ac:dyDescent="0.25">
      <c r="A113" s="86" t="s">
        <v>99</v>
      </c>
      <c r="B113" s="86">
        <v>0</v>
      </c>
      <c r="C113" s="86">
        <v>0</v>
      </c>
      <c r="D113" s="86">
        <v>103</v>
      </c>
      <c r="E113" s="86">
        <v>2</v>
      </c>
      <c r="F113" s="86">
        <v>59</v>
      </c>
      <c r="G113" s="86">
        <v>52</v>
      </c>
      <c r="H113" s="86">
        <v>111</v>
      </c>
      <c r="I113" s="86">
        <v>173497</v>
      </c>
      <c r="J113" s="86">
        <v>40603</v>
      </c>
      <c r="K113" s="93">
        <v>0</v>
      </c>
      <c r="L113" s="93">
        <v>0</v>
      </c>
      <c r="M113" s="93">
        <v>5.9367020755402109E-4</v>
      </c>
      <c r="N113" s="93">
        <v>4.9257444031229218E-5</v>
      </c>
      <c r="O113" s="93">
        <v>3.4006351694841988E-4</v>
      </c>
      <c r="P113" s="93">
        <v>1.2806935448119597E-3</v>
      </c>
      <c r="Q113" s="93">
        <v>5.1844932274638022E-4</v>
      </c>
      <c r="R113" s="86">
        <v>32</v>
      </c>
      <c r="S113" s="86">
        <v>41</v>
      </c>
      <c r="T113" s="86" t="s">
        <v>279</v>
      </c>
      <c r="U113" s="86" t="s">
        <v>285</v>
      </c>
      <c r="V113" t="s">
        <v>263</v>
      </c>
      <c r="W113">
        <v>10115</v>
      </c>
      <c r="X113">
        <v>2445</v>
      </c>
      <c r="Y113">
        <v>5690</v>
      </c>
      <c r="Z113">
        <v>2039</v>
      </c>
      <c r="AA113">
        <v>53</v>
      </c>
      <c r="AB113">
        <v>2</v>
      </c>
      <c r="AC113">
        <v>20344</v>
      </c>
      <c r="AD113" s="92">
        <v>5.8300719897174016E-2</v>
      </c>
      <c r="AE113" s="92">
        <v>6.021722532817772E-2</v>
      </c>
      <c r="AF113" s="92">
        <v>3.2795956126042525E-2</v>
      </c>
      <c r="AG113" s="92">
        <v>5.0217964189838191E-2</v>
      </c>
      <c r="AH113" s="92">
        <v>3.0548078641129243E-4</v>
      </c>
      <c r="AI113" s="92">
        <v>4.9257444031229218E-5</v>
      </c>
      <c r="AJ113" s="92">
        <v>9.5021018215787012E-2</v>
      </c>
      <c r="AK113">
        <v>28</v>
      </c>
      <c r="AL113">
        <v>0</v>
      </c>
      <c r="AM113">
        <v>487</v>
      </c>
      <c r="AN113">
        <v>23</v>
      </c>
      <c r="AO113">
        <v>524</v>
      </c>
      <c r="AP113">
        <v>23</v>
      </c>
      <c r="AQ113">
        <v>579</v>
      </c>
      <c r="AR113">
        <v>26</v>
      </c>
      <c r="AS113">
        <v>710</v>
      </c>
      <c r="AT113">
        <v>274</v>
      </c>
      <c r="AU113">
        <v>717</v>
      </c>
      <c r="AV113">
        <v>276</v>
      </c>
      <c r="AW113">
        <v>720</v>
      </c>
      <c r="AX113">
        <v>279</v>
      </c>
      <c r="AY113">
        <v>722</v>
      </c>
      <c r="AZ113">
        <v>280</v>
      </c>
      <c r="BA113">
        <v>727</v>
      </c>
      <c r="BB113">
        <v>282</v>
      </c>
      <c r="BC113" t="s">
        <v>311</v>
      </c>
      <c r="BD113" t="s">
        <v>311</v>
      </c>
      <c r="BE113" s="92">
        <v>1.6138607583992808E-4</v>
      </c>
      <c r="BF113" s="92">
        <v>0</v>
      </c>
      <c r="BG113" s="92">
        <v>2.8069649619301773E-3</v>
      </c>
      <c r="BH113" s="92">
        <v>5.6646060635913605E-4</v>
      </c>
      <c r="BI113" s="92">
        <v>3.0202251335757968E-3</v>
      </c>
      <c r="BJ113" s="92">
        <v>5.6646060635913605E-4</v>
      </c>
      <c r="BK113" s="92">
        <v>3.3372334968327982E-3</v>
      </c>
      <c r="BL113" s="92">
        <v>6.4034677240597986E-4</v>
      </c>
      <c r="BM113" s="92">
        <v>4.0922897802267476E-3</v>
      </c>
      <c r="BN113" s="92">
        <v>6.7482698322784028E-3</v>
      </c>
      <c r="BO113" s="92">
        <v>4.1326362991867295E-3</v>
      </c>
      <c r="BP113" s="92">
        <v>6.7975272763096325E-3</v>
      </c>
      <c r="BQ113" s="92">
        <v>4.1499276644552932E-3</v>
      </c>
      <c r="BR113" s="92">
        <v>6.8714134423564759E-3</v>
      </c>
      <c r="BS113" s="92">
        <v>4.1614552413010023E-3</v>
      </c>
      <c r="BT113" s="92">
        <v>6.8960421643720904E-3</v>
      </c>
      <c r="BU113" s="92">
        <v>4.1902741834152751E-3</v>
      </c>
      <c r="BV113" s="92">
        <v>6.9452996084033202E-3</v>
      </c>
      <c r="BW113" s="92" t="s">
        <v>311</v>
      </c>
      <c r="BX113" s="92" t="s">
        <v>311</v>
      </c>
      <c r="BY113" s="92" t="s">
        <v>317</v>
      </c>
    </row>
    <row r="114" spans="1:77" hidden="1" x14ac:dyDescent="0.25">
      <c r="A114" s="87" t="s">
        <v>87</v>
      </c>
      <c r="B114" s="87" t="s">
        <v>311</v>
      </c>
      <c r="C114" s="87" t="s">
        <v>311</v>
      </c>
      <c r="D114" s="87" t="s">
        <v>311</v>
      </c>
      <c r="E114" s="87" t="s">
        <v>311</v>
      </c>
      <c r="F114" s="87">
        <v>0</v>
      </c>
      <c r="G114" s="87">
        <v>0</v>
      </c>
      <c r="H114" s="87">
        <v>0</v>
      </c>
      <c r="I114" s="87">
        <v>18560</v>
      </c>
      <c r="J114" s="87">
        <v>7151</v>
      </c>
      <c r="K114" s="92" t="s">
        <v>311</v>
      </c>
      <c r="L114" s="92" t="s">
        <v>311</v>
      </c>
      <c r="M114" s="92" t="s">
        <v>311</v>
      </c>
      <c r="N114" s="92" t="s">
        <v>311</v>
      </c>
      <c r="O114" s="92">
        <v>0</v>
      </c>
      <c r="P114" s="92">
        <v>0</v>
      </c>
      <c r="Q114" s="92">
        <v>0</v>
      </c>
      <c r="R114" s="87">
        <v>46</v>
      </c>
      <c r="S114" s="87">
        <v>46</v>
      </c>
      <c r="T114" s="87" t="s">
        <v>279</v>
      </c>
      <c r="U114" s="87" t="s">
        <v>285</v>
      </c>
      <c r="V114" t="s">
        <v>263</v>
      </c>
      <c r="W114">
        <v>858</v>
      </c>
      <c r="X114">
        <v>463</v>
      </c>
      <c r="Y114">
        <v>14648</v>
      </c>
      <c r="Z114">
        <v>4977</v>
      </c>
      <c r="AA114">
        <v>2678</v>
      </c>
      <c r="AB114">
        <v>1706</v>
      </c>
      <c r="AC114">
        <v>25330</v>
      </c>
      <c r="AD114" s="92">
        <v>4.6228448275862068E-2</v>
      </c>
      <c r="AE114" s="92">
        <v>6.4746189344147678E-2</v>
      </c>
      <c r="AF114" s="92">
        <v>0.78922413793103452</v>
      </c>
      <c r="AG114" s="92">
        <v>0.69598657530415331</v>
      </c>
      <c r="AH114" s="92">
        <v>0.14428879310344828</v>
      </c>
      <c r="AI114" s="92">
        <v>0.23856803244301497</v>
      </c>
      <c r="AJ114" s="92">
        <v>0.98518143985064754</v>
      </c>
      <c r="AK114">
        <v>9</v>
      </c>
      <c r="AL114">
        <v>0</v>
      </c>
      <c r="AM114">
        <v>14</v>
      </c>
      <c r="AN114">
        <v>0</v>
      </c>
      <c r="AO114">
        <v>15</v>
      </c>
      <c r="AP114">
        <v>0</v>
      </c>
      <c r="AQ114">
        <v>16</v>
      </c>
      <c r="AR114">
        <v>0</v>
      </c>
      <c r="AS114">
        <v>17</v>
      </c>
      <c r="AT114">
        <v>0</v>
      </c>
      <c r="AU114">
        <v>17</v>
      </c>
      <c r="AV114">
        <v>0</v>
      </c>
      <c r="AW114">
        <v>18</v>
      </c>
      <c r="AX114">
        <v>0</v>
      </c>
      <c r="AY114">
        <v>18</v>
      </c>
      <c r="AZ114">
        <v>0</v>
      </c>
      <c r="BA114">
        <v>19</v>
      </c>
      <c r="BB114">
        <v>0</v>
      </c>
      <c r="BC114" t="s">
        <v>311</v>
      </c>
      <c r="BD114" t="s">
        <v>311</v>
      </c>
      <c r="BE114" s="92">
        <v>4.8491379310344827E-4</v>
      </c>
      <c r="BF114" s="92">
        <v>0</v>
      </c>
      <c r="BG114" s="92">
        <v>7.543103448275862E-4</v>
      </c>
      <c r="BH114" s="92">
        <v>0</v>
      </c>
      <c r="BI114" s="92">
        <v>8.0818965517241378E-4</v>
      </c>
      <c r="BJ114" s="92">
        <v>0</v>
      </c>
      <c r="BK114" s="92">
        <v>8.6206896551724137E-4</v>
      </c>
      <c r="BL114" s="92">
        <v>0</v>
      </c>
      <c r="BM114" s="92">
        <v>9.1594827586206895E-4</v>
      </c>
      <c r="BN114" s="92">
        <v>0</v>
      </c>
      <c r="BO114" s="92">
        <v>9.1594827586206895E-4</v>
      </c>
      <c r="BP114" s="92">
        <v>0</v>
      </c>
      <c r="BQ114" s="92">
        <v>9.6982758620689654E-4</v>
      </c>
      <c r="BR114" s="92">
        <v>0</v>
      </c>
      <c r="BS114" s="92">
        <v>9.6982758620689654E-4</v>
      </c>
      <c r="BT114" s="92">
        <v>0</v>
      </c>
      <c r="BU114" s="92">
        <v>1.0237068965517242E-3</v>
      </c>
      <c r="BV114" s="92">
        <v>0</v>
      </c>
      <c r="BW114" s="92" t="s">
        <v>311</v>
      </c>
      <c r="BX114" s="92" t="s">
        <v>311</v>
      </c>
      <c r="BY114" s="92" t="s">
        <v>317</v>
      </c>
    </row>
    <row r="115" spans="1:77" hidden="1" x14ac:dyDescent="0.25">
      <c r="A115" s="86" t="s">
        <v>100</v>
      </c>
      <c r="B115" s="86">
        <v>0</v>
      </c>
      <c r="C115" s="86">
        <v>0</v>
      </c>
      <c r="D115" s="86">
        <v>4</v>
      </c>
      <c r="E115" s="86">
        <v>0</v>
      </c>
      <c r="F115" s="86">
        <v>1765</v>
      </c>
      <c r="G115" s="86">
        <v>217</v>
      </c>
      <c r="H115" s="86">
        <v>1982</v>
      </c>
      <c r="I115" s="86">
        <v>9932</v>
      </c>
      <c r="J115" s="86">
        <v>658</v>
      </c>
      <c r="K115" s="93">
        <v>0</v>
      </c>
      <c r="L115" s="93">
        <v>0</v>
      </c>
      <c r="M115" s="93">
        <v>4.0273862263391061E-4</v>
      </c>
      <c r="N115" s="93">
        <v>0</v>
      </c>
      <c r="O115" s="93">
        <v>0.17770841723721306</v>
      </c>
      <c r="P115" s="93">
        <v>0.32978723404255317</v>
      </c>
      <c r="Q115" s="93">
        <v>0.18715769593956563</v>
      </c>
      <c r="R115" s="86">
        <v>13</v>
      </c>
      <c r="S115" s="86">
        <v>13</v>
      </c>
      <c r="T115" s="86" t="s">
        <v>279</v>
      </c>
      <c r="U115" s="86" t="s">
        <v>285</v>
      </c>
      <c r="V115" t="s">
        <v>263</v>
      </c>
      <c r="W115">
        <v>45</v>
      </c>
      <c r="X115">
        <v>2</v>
      </c>
      <c r="Y115">
        <v>9776</v>
      </c>
      <c r="Z115">
        <v>656</v>
      </c>
      <c r="AA115">
        <v>0</v>
      </c>
      <c r="AB115">
        <v>0</v>
      </c>
      <c r="AC115">
        <v>10479</v>
      </c>
      <c r="AD115" s="92">
        <v>4.5308095046314939E-3</v>
      </c>
      <c r="AE115" s="92">
        <v>3.0395136778115501E-3</v>
      </c>
      <c r="AF115" s="92">
        <v>0.98429319371727753</v>
      </c>
      <c r="AG115" s="92">
        <v>0.99696048632218848</v>
      </c>
      <c r="AH115" s="92">
        <v>0</v>
      </c>
      <c r="AI115" s="92">
        <v>0</v>
      </c>
      <c r="AJ115" s="92">
        <v>0.98951841359773374</v>
      </c>
      <c r="AK115">
        <v>0</v>
      </c>
      <c r="AL115">
        <v>0</v>
      </c>
      <c r="AM115">
        <v>0</v>
      </c>
      <c r="AN115">
        <v>0</v>
      </c>
      <c r="AO115">
        <v>0</v>
      </c>
      <c r="AP115">
        <v>0</v>
      </c>
      <c r="AQ115">
        <v>0</v>
      </c>
      <c r="AR115">
        <v>0</v>
      </c>
      <c r="AS115">
        <v>0</v>
      </c>
      <c r="AT115">
        <v>0</v>
      </c>
      <c r="AU115">
        <v>0</v>
      </c>
      <c r="AV115">
        <v>0</v>
      </c>
      <c r="AW115">
        <v>0</v>
      </c>
      <c r="AX115">
        <v>0</v>
      </c>
      <c r="AY115">
        <v>0</v>
      </c>
      <c r="AZ115">
        <v>0</v>
      </c>
      <c r="BA115">
        <v>0</v>
      </c>
      <c r="BB115">
        <v>0</v>
      </c>
      <c r="BC115" t="s">
        <v>311</v>
      </c>
      <c r="BD115" t="s">
        <v>311</v>
      </c>
      <c r="BE115" s="92">
        <v>0</v>
      </c>
      <c r="BF115" s="92">
        <v>0</v>
      </c>
      <c r="BG115" s="92">
        <v>0</v>
      </c>
      <c r="BH115" s="92">
        <v>0</v>
      </c>
      <c r="BI115" s="92">
        <v>0</v>
      </c>
      <c r="BJ115" s="92">
        <v>0</v>
      </c>
      <c r="BK115" s="92">
        <v>0</v>
      </c>
      <c r="BL115" s="92">
        <v>0</v>
      </c>
      <c r="BM115" s="92">
        <v>0</v>
      </c>
      <c r="BN115" s="92">
        <v>0</v>
      </c>
      <c r="BO115" s="92">
        <v>0</v>
      </c>
      <c r="BP115" s="92">
        <v>0</v>
      </c>
      <c r="BQ115" s="92">
        <v>0</v>
      </c>
      <c r="BR115" s="92">
        <v>0</v>
      </c>
      <c r="BS115" s="92">
        <v>0</v>
      </c>
      <c r="BT115" s="92">
        <v>0</v>
      </c>
      <c r="BU115" s="92">
        <v>0</v>
      </c>
      <c r="BV115" s="92">
        <v>0</v>
      </c>
      <c r="BW115" s="92" t="s">
        <v>311</v>
      </c>
      <c r="BX115" s="92" t="s">
        <v>311</v>
      </c>
      <c r="BY115" s="92" t="s">
        <v>317</v>
      </c>
    </row>
    <row r="116" spans="1:77" hidden="1" x14ac:dyDescent="0.25">
      <c r="A116" s="87" t="s">
        <v>101</v>
      </c>
      <c r="B116" s="87" t="s">
        <v>311</v>
      </c>
      <c r="C116" s="87" t="s">
        <v>311</v>
      </c>
      <c r="D116" s="87" t="s">
        <v>311</v>
      </c>
      <c r="E116" s="87" t="s">
        <v>311</v>
      </c>
      <c r="F116" s="87">
        <v>0</v>
      </c>
      <c r="G116" s="87">
        <v>0</v>
      </c>
      <c r="H116" s="87">
        <v>0</v>
      </c>
      <c r="I116" s="87">
        <v>21486</v>
      </c>
      <c r="J116" s="87">
        <v>7995</v>
      </c>
      <c r="K116" s="92" t="s">
        <v>311</v>
      </c>
      <c r="L116" s="92" t="s">
        <v>311</v>
      </c>
      <c r="M116" s="92" t="s">
        <v>311</v>
      </c>
      <c r="N116" s="92" t="s">
        <v>311</v>
      </c>
      <c r="O116" s="92">
        <v>0</v>
      </c>
      <c r="P116" s="92">
        <v>0</v>
      </c>
      <c r="Q116" s="92">
        <v>0</v>
      </c>
      <c r="R116" s="87">
        <v>46</v>
      </c>
      <c r="S116" s="87">
        <v>46</v>
      </c>
      <c r="T116" s="87" t="s">
        <v>279</v>
      </c>
      <c r="U116" s="87" t="s">
        <v>285</v>
      </c>
      <c r="V116" t="s">
        <v>263</v>
      </c>
      <c r="W116">
        <v>613</v>
      </c>
      <c r="X116">
        <v>797</v>
      </c>
      <c r="Y116">
        <v>16543</v>
      </c>
      <c r="Z116">
        <v>4591</v>
      </c>
      <c r="AA116">
        <v>4324</v>
      </c>
      <c r="AB116">
        <v>2379</v>
      </c>
      <c r="AC116">
        <v>29247</v>
      </c>
      <c r="AD116" s="92">
        <v>2.8530205715349529E-2</v>
      </c>
      <c r="AE116" s="92">
        <v>9.9687304565353352E-2</v>
      </c>
      <c r="AF116" s="92">
        <v>0.76994321884017503</v>
      </c>
      <c r="AG116" s="92">
        <v>0.57423389618511567</v>
      </c>
      <c r="AH116" s="92">
        <v>0.20124732383877875</v>
      </c>
      <c r="AI116" s="92">
        <v>0.29756097560975608</v>
      </c>
      <c r="AJ116" s="92">
        <v>0.99206268444082635</v>
      </c>
      <c r="AK116">
        <v>3</v>
      </c>
      <c r="AL116">
        <v>0</v>
      </c>
      <c r="AM116">
        <v>8</v>
      </c>
      <c r="AN116">
        <v>0</v>
      </c>
      <c r="AO116">
        <v>11</v>
      </c>
      <c r="AP116">
        <v>0</v>
      </c>
      <c r="AQ116">
        <v>19</v>
      </c>
      <c r="AR116">
        <v>3</v>
      </c>
      <c r="AS116">
        <v>21</v>
      </c>
      <c r="AT116">
        <v>25</v>
      </c>
      <c r="AU116">
        <v>24</v>
      </c>
      <c r="AV116">
        <v>103</v>
      </c>
      <c r="AW116">
        <v>27</v>
      </c>
      <c r="AX116">
        <v>141</v>
      </c>
      <c r="AY116">
        <v>29</v>
      </c>
      <c r="AZ116">
        <v>181</v>
      </c>
      <c r="BA116">
        <v>119</v>
      </c>
      <c r="BB116">
        <v>217</v>
      </c>
      <c r="BC116" t="s">
        <v>311</v>
      </c>
      <c r="BD116" t="s">
        <v>311</v>
      </c>
      <c r="BE116" s="92">
        <v>1.3962580284836637E-4</v>
      </c>
      <c r="BF116" s="92">
        <v>0</v>
      </c>
      <c r="BG116" s="92">
        <v>3.7233547426231036E-4</v>
      </c>
      <c r="BH116" s="92">
        <v>0</v>
      </c>
      <c r="BI116" s="92">
        <v>5.1196127711067676E-4</v>
      </c>
      <c r="BJ116" s="92">
        <v>0</v>
      </c>
      <c r="BK116" s="92">
        <v>8.8429675137298707E-4</v>
      </c>
      <c r="BL116" s="92">
        <v>3.7523452157598499E-4</v>
      </c>
      <c r="BM116" s="92">
        <v>9.7738061993856459E-4</v>
      </c>
      <c r="BN116" s="92">
        <v>3.1269543464665416E-3</v>
      </c>
      <c r="BO116" s="92">
        <v>1.1170064227869309E-3</v>
      </c>
      <c r="BP116" s="92">
        <v>1.2883051907442152E-2</v>
      </c>
      <c r="BQ116" s="92">
        <v>1.2566322256352975E-3</v>
      </c>
      <c r="BR116" s="92">
        <v>1.7636022514071294E-2</v>
      </c>
      <c r="BS116" s="92">
        <v>1.3497160942008749E-3</v>
      </c>
      <c r="BT116" s="92">
        <v>2.263914946841776E-2</v>
      </c>
      <c r="BU116" s="92">
        <v>5.5384901796518664E-3</v>
      </c>
      <c r="BV116" s="92">
        <v>2.714196372732958E-2</v>
      </c>
      <c r="BW116" s="92" t="s">
        <v>311</v>
      </c>
      <c r="BX116" s="92" t="s">
        <v>311</v>
      </c>
      <c r="BY116" s="92" t="s">
        <v>317</v>
      </c>
    </row>
    <row r="117" spans="1:77" hidden="1" x14ac:dyDescent="0.25">
      <c r="A117" s="86" t="s">
        <v>102</v>
      </c>
      <c r="B117" s="86">
        <v>865</v>
      </c>
      <c r="C117" s="86">
        <v>2</v>
      </c>
      <c r="D117" s="86">
        <v>2303</v>
      </c>
      <c r="E117" s="86">
        <v>18</v>
      </c>
      <c r="F117" s="86">
        <v>2721</v>
      </c>
      <c r="G117" s="86">
        <v>8</v>
      </c>
      <c r="H117" s="86">
        <v>2729</v>
      </c>
      <c r="I117" s="86">
        <v>19393</v>
      </c>
      <c r="J117" s="86">
        <v>424</v>
      </c>
      <c r="K117" s="93">
        <v>4.4603722992832467E-2</v>
      </c>
      <c r="L117" s="93">
        <v>4.7169811320754715E-3</v>
      </c>
      <c r="M117" s="93">
        <v>0.11875418965606147</v>
      </c>
      <c r="N117" s="93">
        <v>4.2452830188679243E-2</v>
      </c>
      <c r="O117" s="93">
        <v>0.14030835868612385</v>
      </c>
      <c r="P117" s="93">
        <v>1.8867924528301886E-2</v>
      </c>
      <c r="Q117" s="93">
        <v>0.13771004692940406</v>
      </c>
      <c r="R117" s="86">
        <v>8</v>
      </c>
      <c r="S117" s="86">
        <v>18</v>
      </c>
      <c r="T117" s="86" t="s">
        <v>279</v>
      </c>
      <c r="U117" s="86" t="s">
        <v>286</v>
      </c>
      <c r="V117" t="s">
        <v>263</v>
      </c>
      <c r="W117">
        <v>708</v>
      </c>
      <c r="X117">
        <v>4</v>
      </c>
      <c r="Y117">
        <v>181</v>
      </c>
      <c r="Z117">
        <v>1</v>
      </c>
      <c r="AA117">
        <v>0</v>
      </c>
      <c r="AB117">
        <v>0</v>
      </c>
      <c r="AC117">
        <v>894</v>
      </c>
      <c r="AD117" s="92">
        <v>3.6508018357139176E-2</v>
      </c>
      <c r="AE117" s="92">
        <v>9.433962264150943E-3</v>
      </c>
      <c r="AF117" s="92">
        <v>9.3332645800030933E-3</v>
      </c>
      <c r="AG117" s="92">
        <v>2.3584905660377358E-3</v>
      </c>
      <c r="AH117" s="92">
        <v>0</v>
      </c>
      <c r="AI117" s="92">
        <v>0</v>
      </c>
      <c r="AJ117" s="92">
        <v>4.5112781954887216E-2</v>
      </c>
      <c r="AK117">
        <v>1</v>
      </c>
      <c r="AL117">
        <v>0</v>
      </c>
      <c r="AM117">
        <v>4</v>
      </c>
      <c r="AN117">
        <v>0</v>
      </c>
      <c r="AO117">
        <v>4</v>
      </c>
      <c r="AP117">
        <v>0</v>
      </c>
      <c r="AQ117">
        <v>4</v>
      </c>
      <c r="AR117">
        <v>0</v>
      </c>
      <c r="AS117">
        <v>4</v>
      </c>
      <c r="AT117">
        <v>0</v>
      </c>
      <c r="AU117">
        <v>5</v>
      </c>
      <c r="AV117">
        <v>0</v>
      </c>
      <c r="AW117">
        <v>5</v>
      </c>
      <c r="AX117">
        <v>0</v>
      </c>
      <c r="AY117">
        <v>5</v>
      </c>
      <c r="AZ117">
        <v>0</v>
      </c>
      <c r="BA117">
        <v>5</v>
      </c>
      <c r="BB117">
        <v>0</v>
      </c>
      <c r="BC117" t="s">
        <v>311</v>
      </c>
      <c r="BD117" t="s">
        <v>311</v>
      </c>
      <c r="BE117" s="92">
        <v>5.1564997679575106E-5</v>
      </c>
      <c r="BF117" s="92">
        <v>0</v>
      </c>
      <c r="BG117" s="92">
        <v>2.0625999071830043E-4</v>
      </c>
      <c r="BH117" s="92">
        <v>0</v>
      </c>
      <c r="BI117" s="92">
        <v>2.0625999071830043E-4</v>
      </c>
      <c r="BJ117" s="92">
        <v>0</v>
      </c>
      <c r="BK117" s="92">
        <v>2.0625999071830043E-4</v>
      </c>
      <c r="BL117" s="92">
        <v>0</v>
      </c>
      <c r="BM117" s="92">
        <v>2.0625999071830043E-4</v>
      </c>
      <c r="BN117" s="92">
        <v>0</v>
      </c>
      <c r="BO117" s="92">
        <v>2.5782498839787551E-4</v>
      </c>
      <c r="BP117" s="92">
        <v>0</v>
      </c>
      <c r="BQ117" s="92">
        <v>2.5782498839787551E-4</v>
      </c>
      <c r="BR117" s="92">
        <v>0</v>
      </c>
      <c r="BS117" s="92">
        <v>2.5782498839787551E-4</v>
      </c>
      <c r="BT117" s="92">
        <v>0</v>
      </c>
      <c r="BU117" s="92">
        <v>2.5782498839787551E-4</v>
      </c>
      <c r="BV117" s="92">
        <v>0</v>
      </c>
      <c r="BW117" s="92" t="s">
        <v>311</v>
      </c>
      <c r="BX117" s="92" t="s">
        <v>311</v>
      </c>
      <c r="BY117" s="92" t="s">
        <v>317</v>
      </c>
    </row>
    <row r="118" spans="1:77" hidden="1" x14ac:dyDescent="0.25">
      <c r="A118" s="87" t="s">
        <v>104</v>
      </c>
      <c r="B118" s="87" t="s">
        <v>311</v>
      </c>
      <c r="C118" s="87" t="s">
        <v>311</v>
      </c>
      <c r="D118" s="87" t="s">
        <v>311</v>
      </c>
      <c r="E118" s="87" t="s">
        <v>311</v>
      </c>
      <c r="F118" s="87">
        <v>0</v>
      </c>
      <c r="G118" s="87">
        <v>0</v>
      </c>
      <c r="H118" s="87">
        <v>0</v>
      </c>
      <c r="I118" s="87">
        <v>7351</v>
      </c>
      <c r="J118" s="87">
        <v>2026</v>
      </c>
      <c r="K118" s="92" t="s">
        <v>311</v>
      </c>
      <c r="L118" s="92" t="s">
        <v>311</v>
      </c>
      <c r="M118" s="92" t="s">
        <v>311</v>
      </c>
      <c r="N118" s="92" t="s">
        <v>311</v>
      </c>
      <c r="O118" s="92">
        <v>0</v>
      </c>
      <c r="P118" s="92">
        <v>0</v>
      </c>
      <c r="Q118" s="92">
        <v>0</v>
      </c>
      <c r="R118" s="87">
        <v>46</v>
      </c>
      <c r="S118" s="87">
        <v>46</v>
      </c>
      <c r="T118" s="87" t="s">
        <v>279</v>
      </c>
      <c r="U118" s="87" t="s">
        <v>285</v>
      </c>
      <c r="V118" t="s">
        <v>264</v>
      </c>
      <c r="W118">
        <v>24</v>
      </c>
      <c r="X118">
        <v>21</v>
      </c>
      <c r="Y118">
        <v>62</v>
      </c>
      <c r="Z118">
        <v>98</v>
      </c>
      <c r="AA118">
        <v>0</v>
      </c>
      <c r="AB118">
        <v>0</v>
      </c>
      <c r="AC118">
        <v>205</v>
      </c>
      <c r="AD118" s="92">
        <v>3.2648619235478168E-3</v>
      </c>
      <c r="AE118" s="92">
        <v>1.0365251727541954E-2</v>
      </c>
      <c r="AF118" s="92">
        <v>8.4342266358318589E-3</v>
      </c>
      <c r="AG118" s="92">
        <v>4.8371174728529122E-2</v>
      </c>
      <c r="AH118" s="92">
        <v>0</v>
      </c>
      <c r="AI118" s="92">
        <v>0</v>
      </c>
      <c r="AJ118" s="92">
        <v>2.1862002772741813E-2</v>
      </c>
      <c r="AK118">
        <v>19</v>
      </c>
      <c r="AL118">
        <v>1</v>
      </c>
      <c r="AM118">
        <v>22</v>
      </c>
      <c r="AN118">
        <v>1</v>
      </c>
      <c r="AO118">
        <v>25</v>
      </c>
      <c r="AP118">
        <v>17</v>
      </c>
      <c r="AQ118">
        <v>83</v>
      </c>
      <c r="AR118">
        <v>63</v>
      </c>
      <c r="AS118">
        <v>100</v>
      </c>
      <c r="AT118">
        <v>128</v>
      </c>
      <c r="AU118">
        <v>114</v>
      </c>
      <c r="AV118">
        <v>170</v>
      </c>
      <c r="AW118">
        <v>121</v>
      </c>
      <c r="AX118">
        <v>253</v>
      </c>
      <c r="AY118">
        <v>130</v>
      </c>
      <c r="AZ118">
        <v>284</v>
      </c>
      <c r="BA118">
        <v>143</v>
      </c>
      <c r="BB118">
        <v>299</v>
      </c>
      <c r="BC118" t="s">
        <v>311</v>
      </c>
      <c r="BD118" t="s">
        <v>311</v>
      </c>
      <c r="BE118" s="92">
        <v>2.5846823561420213E-3</v>
      </c>
      <c r="BF118" s="92">
        <v>4.935834155972359E-4</v>
      </c>
      <c r="BG118" s="92">
        <v>2.9927900965854987E-3</v>
      </c>
      <c r="BH118" s="92">
        <v>4.935834155972359E-4</v>
      </c>
      <c r="BI118" s="92">
        <v>3.4008978370289756E-3</v>
      </c>
      <c r="BJ118" s="92">
        <v>8.3909180651530104E-3</v>
      </c>
      <c r="BK118" s="92">
        <v>1.1290980818936199E-2</v>
      </c>
      <c r="BL118" s="92">
        <v>3.1095755182625865E-2</v>
      </c>
      <c r="BM118" s="92">
        <v>1.3603591348115902E-2</v>
      </c>
      <c r="BN118" s="92">
        <v>6.3178677196446195E-2</v>
      </c>
      <c r="BO118" s="92">
        <v>1.5508094136852129E-2</v>
      </c>
      <c r="BP118" s="92">
        <v>8.3909180651530108E-2</v>
      </c>
      <c r="BQ118" s="92">
        <v>1.6460345531220243E-2</v>
      </c>
      <c r="BR118" s="92">
        <v>0.12487660414610069</v>
      </c>
      <c r="BS118" s="92">
        <v>1.7684668752550672E-2</v>
      </c>
      <c r="BT118" s="92">
        <v>0.140177690029615</v>
      </c>
      <c r="BU118" s="92">
        <v>1.9453135627805741E-2</v>
      </c>
      <c r="BV118" s="92">
        <v>0.14758144126357353</v>
      </c>
      <c r="BW118" s="92" t="s">
        <v>311</v>
      </c>
      <c r="BX118" s="92" t="s">
        <v>311</v>
      </c>
      <c r="BY118" s="92" t="s">
        <v>317</v>
      </c>
    </row>
    <row r="119" spans="1:77" hidden="1" x14ac:dyDescent="0.25">
      <c r="A119" s="86" t="s">
        <v>105</v>
      </c>
      <c r="B119" s="86" t="s">
        <v>311</v>
      </c>
      <c r="C119" s="86" t="s">
        <v>311</v>
      </c>
      <c r="D119" s="86" t="s">
        <v>311</v>
      </c>
      <c r="E119" s="86" t="s">
        <v>311</v>
      </c>
      <c r="F119" s="86">
        <v>0</v>
      </c>
      <c r="G119" s="86">
        <v>0</v>
      </c>
      <c r="H119" s="86">
        <v>0</v>
      </c>
      <c r="I119" s="86">
        <v>5110</v>
      </c>
      <c r="J119" s="86">
        <v>257</v>
      </c>
      <c r="K119" s="93" t="s">
        <v>311</v>
      </c>
      <c r="L119" s="93" t="s">
        <v>311</v>
      </c>
      <c r="M119" s="93" t="s">
        <v>311</v>
      </c>
      <c r="N119" s="93" t="s">
        <v>311</v>
      </c>
      <c r="O119" s="93">
        <v>0</v>
      </c>
      <c r="P119" s="93">
        <v>0</v>
      </c>
      <c r="Q119" s="93">
        <v>0</v>
      </c>
      <c r="R119" s="86">
        <v>46</v>
      </c>
      <c r="S119" s="86">
        <v>46</v>
      </c>
      <c r="T119" s="86" t="s">
        <v>279</v>
      </c>
      <c r="U119" s="86" t="s">
        <v>285</v>
      </c>
      <c r="V119" t="s">
        <v>264</v>
      </c>
      <c r="W119">
        <v>52</v>
      </c>
      <c r="X119">
        <v>2</v>
      </c>
      <c r="Y119">
        <v>0</v>
      </c>
      <c r="Z119">
        <v>0</v>
      </c>
      <c r="AA119">
        <v>0</v>
      </c>
      <c r="AB119">
        <v>0</v>
      </c>
      <c r="AC119">
        <v>54</v>
      </c>
      <c r="AD119" s="92">
        <v>1.0176125244618396E-2</v>
      </c>
      <c r="AE119" s="92">
        <v>7.7821011673151752E-3</v>
      </c>
      <c r="AF119" s="92">
        <v>0</v>
      </c>
      <c r="AG119" s="92">
        <v>0</v>
      </c>
      <c r="AH119" s="92">
        <v>0</v>
      </c>
      <c r="AI119" s="92">
        <v>0</v>
      </c>
      <c r="AJ119" s="92">
        <v>1.0061486864169928E-2</v>
      </c>
      <c r="AK119">
        <v>0</v>
      </c>
      <c r="AL119">
        <v>0</v>
      </c>
      <c r="AM119">
        <v>0</v>
      </c>
      <c r="AN119">
        <v>0</v>
      </c>
      <c r="AO119">
        <v>0</v>
      </c>
      <c r="AP119">
        <v>0</v>
      </c>
      <c r="AQ119">
        <v>0</v>
      </c>
      <c r="AR119">
        <v>0</v>
      </c>
      <c r="AS119">
        <v>0</v>
      </c>
      <c r="AT119">
        <v>0</v>
      </c>
      <c r="AU119">
        <v>0</v>
      </c>
      <c r="AV119">
        <v>0</v>
      </c>
      <c r="AW119">
        <v>0</v>
      </c>
      <c r="AX119">
        <v>0</v>
      </c>
      <c r="AY119">
        <v>0</v>
      </c>
      <c r="AZ119">
        <v>0</v>
      </c>
      <c r="BA119">
        <v>0</v>
      </c>
      <c r="BB119">
        <v>0</v>
      </c>
      <c r="BC119" t="s">
        <v>311</v>
      </c>
      <c r="BD119" t="s">
        <v>311</v>
      </c>
      <c r="BE119" s="92">
        <v>0</v>
      </c>
      <c r="BF119" s="92">
        <v>0</v>
      </c>
      <c r="BG119" s="92">
        <v>0</v>
      </c>
      <c r="BH119" s="92">
        <v>0</v>
      </c>
      <c r="BI119" s="92">
        <v>0</v>
      </c>
      <c r="BJ119" s="92">
        <v>0</v>
      </c>
      <c r="BK119" s="92">
        <v>0</v>
      </c>
      <c r="BL119" s="92">
        <v>0</v>
      </c>
      <c r="BM119" s="92">
        <v>0</v>
      </c>
      <c r="BN119" s="92">
        <v>0</v>
      </c>
      <c r="BO119" s="92">
        <v>0</v>
      </c>
      <c r="BP119" s="92">
        <v>0</v>
      </c>
      <c r="BQ119" s="92">
        <v>0</v>
      </c>
      <c r="BR119" s="92">
        <v>0</v>
      </c>
      <c r="BS119" s="92">
        <v>0</v>
      </c>
      <c r="BT119" s="92">
        <v>0</v>
      </c>
      <c r="BU119" s="92">
        <v>0</v>
      </c>
      <c r="BV119" s="92">
        <v>0</v>
      </c>
      <c r="BW119" s="92" t="s">
        <v>311</v>
      </c>
      <c r="BX119" s="92" t="s">
        <v>311</v>
      </c>
      <c r="BY119" s="92" t="s">
        <v>317</v>
      </c>
    </row>
    <row r="120" spans="1:77" hidden="1" x14ac:dyDescent="0.25">
      <c r="A120" s="87" t="s">
        <v>106</v>
      </c>
      <c r="B120" s="87">
        <v>3</v>
      </c>
      <c r="C120" s="87">
        <v>0</v>
      </c>
      <c r="D120" s="87">
        <v>0</v>
      </c>
      <c r="E120" s="87">
        <v>0</v>
      </c>
      <c r="F120" s="87">
        <v>0</v>
      </c>
      <c r="G120" s="87">
        <v>0</v>
      </c>
      <c r="H120" s="87">
        <v>0</v>
      </c>
      <c r="I120" s="87">
        <v>27746</v>
      </c>
      <c r="J120" s="87">
        <v>2232</v>
      </c>
      <c r="K120" s="92">
        <v>1.0812369350537015E-4</v>
      </c>
      <c r="L120" s="92">
        <v>0</v>
      </c>
      <c r="M120" s="92">
        <v>0</v>
      </c>
      <c r="N120" s="92">
        <v>0</v>
      </c>
      <c r="O120" s="92">
        <v>0</v>
      </c>
      <c r="P120" s="92">
        <v>0</v>
      </c>
      <c r="Q120" s="92">
        <v>0</v>
      </c>
      <c r="R120" s="87">
        <v>46</v>
      </c>
      <c r="S120" s="87">
        <v>46</v>
      </c>
      <c r="T120" s="87" t="s">
        <v>279</v>
      </c>
      <c r="U120" s="87" t="s">
        <v>285</v>
      </c>
      <c r="V120" t="s">
        <v>264</v>
      </c>
      <c r="W120">
        <v>714</v>
      </c>
      <c r="X120">
        <v>39</v>
      </c>
      <c r="Y120">
        <v>4998</v>
      </c>
      <c r="Z120">
        <v>837</v>
      </c>
      <c r="AA120">
        <v>0</v>
      </c>
      <c r="AB120">
        <v>0</v>
      </c>
      <c r="AC120">
        <v>6588</v>
      </c>
      <c r="AD120" s="92">
        <v>2.5733439054278093E-2</v>
      </c>
      <c r="AE120" s="92">
        <v>1.7473118279569891E-2</v>
      </c>
      <c r="AF120" s="92">
        <v>0.18013407337994666</v>
      </c>
      <c r="AG120" s="92">
        <v>0.375</v>
      </c>
      <c r="AH120" s="92">
        <v>0</v>
      </c>
      <c r="AI120" s="92">
        <v>0</v>
      </c>
      <c r="AJ120" s="92">
        <v>0.21976115818266728</v>
      </c>
      <c r="AK120">
        <v>0</v>
      </c>
      <c r="AL120">
        <v>0</v>
      </c>
      <c r="AM120">
        <v>0</v>
      </c>
      <c r="AN120">
        <v>0</v>
      </c>
      <c r="AO120">
        <v>0</v>
      </c>
      <c r="AP120">
        <v>0</v>
      </c>
      <c r="AQ120">
        <v>0</v>
      </c>
      <c r="AR120">
        <v>0</v>
      </c>
      <c r="AS120">
        <v>83</v>
      </c>
      <c r="AT120">
        <v>25</v>
      </c>
      <c r="AU120">
        <v>172</v>
      </c>
      <c r="AV120">
        <v>43</v>
      </c>
      <c r="AW120">
        <v>225</v>
      </c>
      <c r="AX120">
        <v>77</v>
      </c>
      <c r="AY120">
        <v>345</v>
      </c>
      <c r="AZ120">
        <v>100</v>
      </c>
      <c r="BA120">
        <v>491</v>
      </c>
      <c r="BB120">
        <v>110</v>
      </c>
      <c r="BC120" t="s">
        <v>311</v>
      </c>
      <c r="BD120" t="s">
        <v>311</v>
      </c>
      <c r="BE120" s="92">
        <v>0</v>
      </c>
      <c r="BF120" s="92">
        <v>0</v>
      </c>
      <c r="BG120" s="92">
        <v>0</v>
      </c>
      <c r="BH120" s="92">
        <v>0</v>
      </c>
      <c r="BI120" s="92">
        <v>0</v>
      </c>
      <c r="BJ120" s="92">
        <v>0</v>
      </c>
      <c r="BK120" s="92">
        <v>0</v>
      </c>
      <c r="BL120" s="92">
        <v>0</v>
      </c>
      <c r="BM120" s="92">
        <v>2.9914221869819075E-3</v>
      </c>
      <c r="BN120" s="92">
        <v>1.1200716845878136E-2</v>
      </c>
      <c r="BO120" s="92">
        <v>6.1990917609745545E-3</v>
      </c>
      <c r="BP120" s="92">
        <v>1.9265232974910396E-2</v>
      </c>
      <c r="BQ120" s="92">
        <v>8.1092770129027603E-3</v>
      </c>
      <c r="BR120" s="92">
        <v>3.4498207885304659E-2</v>
      </c>
      <c r="BS120" s="92">
        <v>1.2434224753117567E-2</v>
      </c>
      <c r="BT120" s="92">
        <v>4.4802867383512544E-2</v>
      </c>
      <c r="BU120" s="92">
        <v>1.7696244503712245E-2</v>
      </c>
      <c r="BV120" s="92">
        <v>4.9283154121863799E-2</v>
      </c>
      <c r="BW120" s="92" t="s">
        <v>311</v>
      </c>
      <c r="BX120" s="92" t="s">
        <v>311</v>
      </c>
      <c r="BY120" s="92" t="s">
        <v>317</v>
      </c>
    </row>
    <row r="121" spans="1:77" hidden="1" x14ac:dyDescent="0.25">
      <c r="A121" s="86" t="s">
        <v>107</v>
      </c>
      <c r="B121" s="86" t="s">
        <v>311</v>
      </c>
      <c r="C121" s="86" t="s">
        <v>311</v>
      </c>
      <c r="D121" s="86" t="s">
        <v>311</v>
      </c>
      <c r="E121" s="86" t="s">
        <v>311</v>
      </c>
      <c r="F121" s="86">
        <v>0</v>
      </c>
      <c r="G121" s="86">
        <v>0</v>
      </c>
      <c r="H121" s="86">
        <v>0</v>
      </c>
      <c r="I121" s="86">
        <v>4504</v>
      </c>
      <c r="J121" s="86">
        <v>117</v>
      </c>
      <c r="K121" s="93" t="s">
        <v>311</v>
      </c>
      <c r="L121" s="93" t="s">
        <v>311</v>
      </c>
      <c r="M121" s="93" t="s">
        <v>311</v>
      </c>
      <c r="N121" s="93" t="s">
        <v>311</v>
      </c>
      <c r="O121" s="93">
        <v>0</v>
      </c>
      <c r="P121" s="93">
        <v>0</v>
      </c>
      <c r="Q121" s="93">
        <v>0</v>
      </c>
      <c r="R121" s="86">
        <v>46</v>
      </c>
      <c r="S121" s="86">
        <v>46</v>
      </c>
      <c r="T121" s="86" t="s">
        <v>279</v>
      </c>
      <c r="U121" s="86" t="s">
        <v>285</v>
      </c>
      <c r="V121" t="s">
        <v>264</v>
      </c>
      <c r="W121">
        <v>20</v>
      </c>
      <c r="X121">
        <v>7</v>
      </c>
      <c r="Y121">
        <v>82</v>
      </c>
      <c r="Z121">
        <v>0</v>
      </c>
      <c r="AA121">
        <v>0</v>
      </c>
      <c r="AB121">
        <v>0</v>
      </c>
      <c r="AC121">
        <v>109</v>
      </c>
      <c r="AD121" s="92">
        <v>4.4404973357015983E-3</v>
      </c>
      <c r="AE121" s="92">
        <v>5.9829059829059832E-2</v>
      </c>
      <c r="AF121" s="92">
        <v>1.8206039076376555E-2</v>
      </c>
      <c r="AG121" s="92">
        <v>0</v>
      </c>
      <c r="AH121" s="92">
        <v>0</v>
      </c>
      <c r="AI121" s="92">
        <v>0</v>
      </c>
      <c r="AJ121" s="92">
        <v>2.3587967972300367E-2</v>
      </c>
      <c r="AK121">
        <v>0</v>
      </c>
      <c r="AL121">
        <v>0</v>
      </c>
      <c r="AM121">
        <v>0</v>
      </c>
      <c r="AN121">
        <v>0</v>
      </c>
      <c r="AO121">
        <v>0</v>
      </c>
      <c r="AP121">
        <v>0</v>
      </c>
      <c r="AQ121">
        <v>0</v>
      </c>
      <c r="AR121">
        <v>0</v>
      </c>
      <c r="AS121">
        <v>0</v>
      </c>
      <c r="AT121">
        <v>0</v>
      </c>
      <c r="AU121">
        <v>0</v>
      </c>
      <c r="AV121">
        <v>0</v>
      </c>
      <c r="AW121">
        <v>0</v>
      </c>
      <c r="AX121">
        <v>0</v>
      </c>
      <c r="AY121">
        <v>0</v>
      </c>
      <c r="AZ121">
        <v>0</v>
      </c>
      <c r="BA121">
        <v>0</v>
      </c>
      <c r="BB121">
        <v>0</v>
      </c>
      <c r="BC121" t="s">
        <v>311</v>
      </c>
      <c r="BD121" t="s">
        <v>311</v>
      </c>
      <c r="BE121" s="92">
        <v>0</v>
      </c>
      <c r="BF121" s="92">
        <v>0</v>
      </c>
      <c r="BG121" s="92">
        <v>0</v>
      </c>
      <c r="BH121" s="92">
        <v>0</v>
      </c>
      <c r="BI121" s="92">
        <v>0</v>
      </c>
      <c r="BJ121" s="92">
        <v>0</v>
      </c>
      <c r="BK121" s="92">
        <v>0</v>
      </c>
      <c r="BL121" s="92">
        <v>0</v>
      </c>
      <c r="BM121" s="92">
        <v>0</v>
      </c>
      <c r="BN121" s="92">
        <v>0</v>
      </c>
      <c r="BO121" s="92">
        <v>0</v>
      </c>
      <c r="BP121" s="92">
        <v>0</v>
      </c>
      <c r="BQ121" s="92">
        <v>0</v>
      </c>
      <c r="BR121" s="92">
        <v>0</v>
      </c>
      <c r="BS121" s="92">
        <v>0</v>
      </c>
      <c r="BT121" s="92">
        <v>0</v>
      </c>
      <c r="BU121" s="92">
        <v>0</v>
      </c>
      <c r="BV121" s="92">
        <v>0</v>
      </c>
      <c r="BW121" s="92" t="s">
        <v>311</v>
      </c>
      <c r="BX121" s="92" t="s">
        <v>311</v>
      </c>
      <c r="BY121" s="92" t="s">
        <v>317</v>
      </c>
    </row>
    <row r="122" spans="1:77" hidden="1" x14ac:dyDescent="0.25">
      <c r="A122" s="87" t="s">
        <v>108</v>
      </c>
      <c r="B122" s="87" t="s">
        <v>311</v>
      </c>
      <c r="C122" s="87" t="s">
        <v>311</v>
      </c>
      <c r="D122" s="87" t="s">
        <v>311</v>
      </c>
      <c r="E122" s="87" t="s">
        <v>311</v>
      </c>
      <c r="F122" s="87">
        <v>0</v>
      </c>
      <c r="G122" s="87">
        <v>0</v>
      </c>
      <c r="H122" s="87">
        <v>0</v>
      </c>
      <c r="I122" s="87">
        <v>8101</v>
      </c>
      <c r="J122" s="87">
        <v>91</v>
      </c>
      <c r="K122" s="92" t="s">
        <v>311</v>
      </c>
      <c r="L122" s="92" t="s">
        <v>311</v>
      </c>
      <c r="M122" s="92" t="s">
        <v>311</v>
      </c>
      <c r="N122" s="92" t="s">
        <v>311</v>
      </c>
      <c r="O122" s="92">
        <v>0</v>
      </c>
      <c r="P122" s="92">
        <v>0</v>
      </c>
      <c r="Q122" s="92">
        <v>0</v>
      </c>
      <c r="R122" s="87">
        <v>46</v>
      </c>
      <c r="S122" s="87">
        <v>46</v>
      </c>
      <c r="T122" s="87" t="s">
        <v>279</v>
      </c>
      <c r="U122" s="87" t="s">
        <v>285</v>
      </c>
      <c r="V122" t="s">
        <v>264</v>
      </c>
      <c r="W122">
        <v>735</v>
      </c>
      <c r="X122">
        <v>36</v>
      </c>
      <c r="Y122">
        <v>89</v>
      </c>
      <c r="Z122">
        <v>4</v>
      </c>
      <c r="AA122">
        <v>0</v>
      </c>
      <c r="AB122">
        <v>0</v>
      </c>
      <c r="AC122">
        <v>864</v>
      </c>
      <c r="AD122" s="92">
        <v>9.0729539563016909E-2</v>
      </c>
      <c r="AE122" s="92">
        <v>0.39560439560439559</v>
      </c>
      <c r="AF122" s="92">
        <v>1.0986297987902727E-2</v>
      </c>
      <c r="AG122" s="92">
        <v>4.3956043956043959E-2</v>
      </c>
      <c r="AH122" s="92">
        <v>0</v>
      </c>
      <c r="AI122" s="92">
        <v>0</v>
      </c>
      <c r="AJ122" s="92">
        <v>0.10546875</v>
      </c>
      <c r="AK122">
        <v>5</v>
      </c>
      <c r="AL122">
        <v>0</v>
      </c>
      <c r="AM122">
        <v>355</v>
      </c>
      <c r="AN122">
        <v>14</v>
      </c>
      <c r="AO122">
        <v>461</v>
      </c>
      <c r="AP122">
        <v>25</v>
      </c>
      <c r="AQ122">
        <v>589</v>
      </c>
      <c r="AR122">
        <v>42</v>
      </c>
      <c r="AS122">
        <v>706</v>
      </c>
      <c r="AT122">
        <v>54</v>
      </c>
      <c r="AU122">
        <v>846</v>
      </c>
      <c r="AV122">
        <v>59</v>
      </c>
      <c r="AW122">
        <v>925</v>
      </c>
      <c r="AX122">
        <v>61</v>
      </c>
      <c r="AY122">
        <v>1202</v>
      </c>
      <c r="AZ122">
        <v>66</v>
      </c>
      <c r="BA122">
        <v>1758</v>
      </c>
      <c r="BB122">
        <v>66</v>
      </c>
      <c r="BC122" t="s">
        <v>311</v>
      </c>
      <c r="BD122" t="s">
        <v>311</v>
      </c>
      <c r="BE122" s="92">
        <v>6.1720775212936675E-4</v>
      </c>
      <c r="BF122" s="92">
        <v>0</v>
      </c>
      <c r="BG122" s="92">
        <v>4.3821750401185036E-2</v>
      </c>
      <c r="BH122" s="92">
        <v>0.15384615384615385</v>
      </c>
      <c r="BI122" s="92">
        <v>5.6906554746327616E-2</v>
      </c>
      <c r="BJ122" s="92">
        <v>0.27472527472527475</v>
      </c>
      <c r="BK122" s="92">
        <v>7.2707073200839398E-2</v>
      </c>
      <c r="BL122" s="92">
        <v>0.46153846153846156</v>
      </c>
      <c r="BM122" s="92">
        <v>8.7149734600666579E-2</v>
      </c>
      <c r="BN122" s="92">
        <v>0.59340659340659341</v>
      </c>
      <c r="BO122" s="92">
        <v>0.10443155166028885</v>
      </c>
      <c r="BP122" s="92">
        <v>0.64835164835164838</v>
      </c>
      <c r="BQ122" s="92">
        <v>0.11418343414393285</v>
      </c>
      <c r="BR122" s="92">
        <v>0.67032967032967028</v>
      </c>
      <c r="BS122" s="92">
        <v>0.14837674361189976</v>
      </c>
      <c r="BT122" s="92">
        <v>0.72527472527472525</v>
      </c>
      <c r="BU122" s="92">
        <v>0.21701024564868535</v>
      </c>
      <c r="BV122" s="92">
        <v>0.72527472527472525</v>
      </c>
      <c r="BW122" s="92" t="s">
        <v>311</v>
      </c>
      <c r="BX122" s="92" t="s">
        <v>311</v>
      </c>
      <c r="BY122" s="92" t="s">
        <v>317</v>
      </c>
    </row>
    <row r="123" spans="1:77" hidden="1" x14ac:dyDescent="0.25">
      <c r="A123" s="86" t="s">
        <v>109</v>
      </c>
      <c r="B123" s="86">
        <v>1676</v>
      </c>
      <c r="C123" s="86">
        <v>25</v>
      </c>
      <c r="D123" s="86">
        <v>220</v>
      </c>
      <c r="E123" s="86">
        <v>2</v>
      </c>
      <c r="F123" s="86">
        <v>20</v>
      </c>
      <c r="G123" s="86">
        <v>0</v>
      </c>
      <c r="H123" s="86">
        <v>20</v>
      </c>
      <c r="I123" s="86">
        <v>5299</v>
      </c>
      <c r="J123" s="86">
        <v>216</v>
      </c>
      <c r="K123" s="93">
        <v>0.31628609171541799</v>
      </c>
      <c r="L123" s="93">
        <v>0.11574074074074074</v>
      </c>
      <c r="M123" s="93">
        <v>4.1517267408945083E-2</v>
      </c>
      <c r="N123" s="93">
        <v>9.2592592592592587E-3</v>
      </c>
      <c r="O123" s="93">
        <v>3.7742970371768257E-3</v>
      </c>
      <c r="P123" s="93">
        <v>0</v>
      </c>
      <c r="Q123" s="93">
        <v>3.6264732547597461E-3</v>
      </c>
      <c r="R123" s="86">
        <v>37</v>
      </c>
      <c r="S123" s="86">
        <v>36</v>
      </c>
      <c r="T123" s="86" t="s">
        <v>279</v>
      </c>
      <c r="U123" s="86" t="s">
        <v>286</v>
      </c>
      <c r="V123" t="s">
        <v>264</v>
      </c>
      <c r="W123">
        <v>595</v>
      </c>
      <c r="X123">
        <v>12</v>
      </c>
      <c r="Y123">
        <v>167</v>
      </c>
      <c r="Z123">
        <v>8</v>
      </c>
      <c r="AA123">
        <v>0</v>
      </c>
      <c r="AB123">
        <v>0</v>
      </c>
      <c r="AC123">
        <v>782</v>
      </c>
      <c r="AD123" s="92">
        <v>0.11228533685601057</v>
      </c>
      <c r="AE123" s="92">
        <v>5.5555555555555552E-2</v>
      </c>
      <c r="AF123" s="92">
        <v>3.1515380260426495E-2</v>
      </c>
      <c r="AG123" s="92">
        <v>3.7037037037037035E-2</v>
      </c>
      <c r="AH123" s="92">
        <v>0</v>
      </c>
      <c r="AI123" s="92">
        <v>0</v>
      </c>
      <c r="AJ123" s="92">
        <v>0.14179510426110609</v>
      </c>
      <c r="AK123">
        <v>33</v>
      </c>
      <c r="AL123">
        <v>0</v>
      </c>
      <c r="AM123">
        <v>39</v>
      </c>
      <c r="AN123">
        <v>0</v>
      </c>
      <c r="AO123">
        <v>54</v>
      </c>
      <c r="AP123">
        <v>0</v>
      </c>
      <c r="AQ123">
        <v>54</v>
      </c>
      <c r="AR123">
        <v>0</v>
      </c>
      <c r="AS123">
        <v>61</v>
      </c>
      <c r="AT123">
        <v>3</v>
      </c>
      <c r="AU123">
        <v>62</v>
      </c>
      <c r="AV123">
        <v>4</v>
      </c>
      <c r="AW123">
        <v>65</v>
      </c>
      <c r="AX123">
        <v>4</v>
      </c>
      <c r="AY123">
        <v>67</v>
      </c>
      <c r="AZ123">
        <v>6</v>
      </c>
      <c r="BA123">
        <v>70</v>
      </c>
      <c r="BB123">
        <v>6</v>
      </c>
      <c r="BC123" t="s">
        <v>311</v>
      </c>
      <c r="BD123" t="s">
        <v>311</v>
      </c>
      <c r="BE123" s="92">
        <v>6.2275901113417629E-3</v>
      </c>
      <c r="BF123" s="92">
        <v>0</v>
      </c>
      <c r="BG123" s="92">
        <v>7.3598792224948105E-3</v>
      </c>
      <c r="BH123" s="92">
        <v>0</v>
      </c>
      <c r="BI123" s="92">
        <v>1.0190602000377429E-2</v>
      </c>
      <c r="BJ123" s="92">
        <v>0</v>
      </c>
      <c r="BK123" s="92">
        <v>1.0190602000377429E-2</v>
      </c>
      <c r="BL123" s="92">
        <v>0</v>
      </c>
      <c r="BM123" s="92">
        <v>1.1511605963389319E-2</v>
      </c>
      <c r="BN123" s="92">
        <v>1.3888888888888888E-2</v>
      </c>
      <c r="BO123" s="92">
        <v>1.1700320815248161E-2</v>
      </c>
      <c r="BP123" s="92">
        <v>1.8518518518518517E-2</v>
      </c>
      <c r="BQ123" s="92">
        <v>1.2266465370824684E-2</v>
      </c>
      <c r="BR123" s="92">
        <v>1.8518518518518517E-2</v>
      </c>
      <c r="BS123" s="92">
        <v>1.2643895074542366E-2</v>
      </c>
      <c r="BT123" s="92">
        <v>2.7777777777777776E-2</v>
      </c>
      <c r="BU123" s="92">
        <v>1.3210039630118891E-2</v>
      </c>
      <c r="BV123" s="92">
        <v>2.7777777777777776E-2</v>
      </c>
      <c r="BW123" s="92" t="s">
        <v>311</v>
      </c>
      <c r="BX123" s="92" t="s">
        <v>311</v>
      </c>
      <c r="BY123" s="92" t="s">
        <v>318</v>
      </c>
    </row>
    <row r="124" spans="1:77" hidden="1" x14ac:dyDescent="0.25">
      <c r="A124" s="87" t="s">
        <v>110</v>
      </c>
      <c r="B124" s="87" t="s">
        <v>311</v>
      </c>
      <c r="C124" s="87" t="s">
        <v>311</v>
      </c>
      <c r="D124" s="87" t="s">
        <v>311</v>
      </c>
      <c r="E124" s="87" t="s">
        <v>311</v>
      </c>
      <c r="F124" s="87">
        <v>0</v>
      </c>
      <c r="G124" s="87">
        <v>0</v>
      </c>
      <c r="H124" s="87">
        <v>0</v>
      </c>
      <c r="I124" s="87">
        <v>25795</v>
      </c>
      <c r="J124" s="87">
        <v>1537</v>
      </c>
      <c r="K124" s="92" t="s">
        <v>311</v>
      </c>
      <c r="L124" s="92" t="s">
        <v>311</v>
      </c>
      <c r="M124" s="92" t="s">
        <v>311</v>
      </c>
      <c r="N124" s="92" t="s">
        <v>311</v>
      </c>
      <c r="O124" s="92">
        <v>0</v>
      </c>
      <c r="P124" s="92">
        <v>0</v>
      </c>
      <c r="Q124" s="92">
        <v>0</v>
      </c>
      <c r="R124" s="87">
        <v>46</v>
      </c>
      <c r="S124" s="87">
        <v>46</v>
      </c>
      <c r="T124" s="87" t="s">
        <v>279</v>
      </c>
      <c r="U124" s="87" t="s">
        <v>285</v>
      </c>
      <c r="V124" t="s">
        <v>264</v>
      </c>
      <c r="W124">
        <v>1054</v>
      </c>
      <c r="X124">
        <v>305</v>
      </c>
      <c r="Y124">
        <v>9442</v>
      </c>
      <c r="Z124">
        <v>133</v>
      </c>
      <c r="AA124">
        <v>0</v>
      </c>
      <c r="AB124">
        <v>0</v>
      </c>
      <c r="AC124">
        <v>10934</v>
      </c>
      <c r="AD124" s="92">
        <v>4.0860631905408028E-2</v>
      </c>
      <c r="AE124" s="92">
        <v>0.19843851659076123</v>
      </c>
      <c r="AF124" s="92">
        <v>0.36603993021903469</v>
      </c>
      <c r="AG124" s="92">
        <v>8.6532205595315548E-2</v>
      </c>
      <c r="AH124" s="92">
        <v>0</v>
      </c>
      <c r="AI124" s="92">
        <v>0</v>
      </c>
      <c r="AJ124" s="92">
        <v>0.40004390458071126</v>
      </c>
      <c r="AK124">
        <v>0</v>
      </c>
      <c r="AL124">
        <v>0</v>
      </c>
      <c r="AM124">
        <v>0</v>
      </c>
      <c r="AN124">
        <v>0</v>
      </c>
      <c r="AO124">
        <v>0</v>
      </c>
      <c r="AP124">
        <v>0</v>
      </c>
      <c r="AQ124">
        <v>0</v>
      </c>
      <c r="AR124">
        <v>0</v>
      </c>
      <c r="AS124">
        <v>0</v>
      </c>
      <c r="AT124">
        <v>0</v>
      </c>
      <c r="AU124">
        <v>0</v>
      </c>
      <c r="AV124">
        <v>0</v>
      </c>
      <c r="AW124">
        <v>0</v>
      </c>
      <c r="AX124">
        <v>0</v>
      </c>
      <c r="AY124">
        <v>0</v>
      </c>
      <c r="AZ124">
        <v>0</v>
      </c>
      <c r="BA124">
        <v>0</v>
      </c>
      <c r="BB124">
        <v>0</v>
      </c>
      <c r="BC124" t="s">
        <v>311</v>
      </c>
      <c r="BD124" t="s">
        <v>311</v>
      </c>
      <c r="BE124" s="92">
        <v>0</v>
      </c>
      <c r="BF124" s="92">
        <v>0</v>
      </c>
      <c r="BG124" s="92">
        <v>0</v>
      </c>
      <c r="BH124" s="92">
        <v>0</v>
      </c>
      <c r="BI124" s="92">
        <v>0</v>
      </c>
      <c r="BJ124" s="92">
        <v>0</v>
      </c>
      <c r="BK124" s="92">
        <v>0</v>
      </c>
      <c r="BL124" s="92">
        <v>0</v>
      </c>
      <c r="BM124" s="92">
        <v>0</v>
      </c>
      <c r="BN124" s="92">
        <v>0</v>
      </c>
      <c r="BO124" s="92">
        <v>0</v>
      </c>
      <c r="BP124" s="92">
        <v>0</v>
      </c>
      <c r="BQ124" s="92">
        <v>0</v>
      </c>
      <c r="BR124" s="92">
        <v>0</v>
      </c>
      <c r="BS124" s="92">
        <v>0</v>
      </c>
      <c r="BT124" s="92">
        <v>0</v>
      </c>
      <c r="BU124" s="92">
        <v>0</v>
      </c>
      <c r="BV124" s="92">
        <v>0</v>
      </c>
      <c r="BW124" s="92" t="s">
        <v>311</v>
      </c>
      <c r="BX124" s="92" t="s">
        <v>311</v>
      </c>
      <c r="BY124" s="92" t="s">
        <v>317</v>
      </c>
    </row>
    <row r="125" spans="1:77" hidden="1" x14ac:dyDescent="0.25">
      <c r="A125" s="86" t="s">
        <v>111</v>
      </c>
      <c r="B125" s="86">
        <v>0</v>
      </c>
      <c r="C125" s="86">
        <v>0</v>
      </c>
      <c r="D125" s="86">
        <v>6</v>
      </c>
      <c r="E125" s="86">
        <v>0</v>
      </c>
      <c r="F125" s="86">
        <v>0</v>
      </c>
      <c r="G125" s="86">
        <v>0</v>
      </c>
      <c r="H125" s="86">
        <v>0</v>
      </c>
      <c r="I125" s="86">
        <v>29921</v>
      </c>
      <c r="J125" s="86">
        <v>5331</v>
      </c>
      <c r="K125" s="93">
        <v>0</v>
      </c>
      <c r="L125" s="93">
        <v>0</v>
      </c>
      <c r="M125" s="93">
        <v>2.00528057217339E-4</v>
      </c>
      <c r="N125" s="93">
        <v>0</v>
      </c>
      <c r="O125" s="93">
        <v>0</v>
      </c>
      <c r="P125" s="93">
        <v>0</v>
      </c>
      <c r="Q125" s="93">
        <v>0</v>
      </c>
      <c r="R125" s="86">
        <v>46</v>
      </c>
      <c r="S125" s="86">
        <v>46</v>
      </c>
      <c r="T125" s="86" t="s">
        <v>279</v>
      </c>
      <c r="U125" s="86" t="s">
        <v>285</v>
      </c>
      <c r="V125" t="s">
        <v>264</v>
      </c>
      <c r="W125">
        <v>488</v>
      </c>
      <c r="X125">
        <v>54</v>
      </c>
      <c r="Y125">
        <v>416</v>
      </c>
      <c r="Z125">
        <v>117</v>
      </c>
      <c r="AA125">
        <v>0</v>
      </c>
      <c r="AB125">
        <v>0</v>
      </c>
      <c r="AC125">
        <v>1075</v>
      </c>
      <c r="AD125" s="92">
        <v>1.6309615320343571E-2</v>
      </c>
      <c r="AE125" s="92">
        <v>1.0129431626336522E-2</v>
      </c>
      <c r="AF125" s="92">
        <v>1.3903278633735503E-2</v>
      </c>
      <c r="AG125" s="92">
        <v>2.1947101857062466E-2</v>
      </c>
      <c r="AH125" s="92">
        <v>0</v>
      </c>
      <c r="AI125" s="92">
        <v>0</v>
      </c>
      <c r="AJ125" s="92">
        <v>3.0494723703619653E-2</v>
      </c>
      <c r="AK125">
        <v>17</v>
      </c>
      <c r="AL125">
        <v>2</v>
      </c>
      <c r="AM125">
        <v>18</v>
      </c>
      <c r="AN125">
        <v>2</v>
      </c>
      <c r="AO125">
        <v>51</v>
      </c>
      <c r="AP125">
        <v>8</v>
      </c>
      <c r="AQ125">
        <v>121</v>
      </c>
      <c r="AR125">
        <v>52</v>
      </c>
      <c r="AS125">
        <v>293</v>
      </c>
      <c r="AT125">
        <v>117</v>
      </c>
      <c r="AU125">
        <v>542</v>
      </c>
      <c r="AV125">
        <v>168</v>
      </c>
      <c r="AW125">
        <v>852</v>
      </c>
      <c r="AX125">
        <v>186</v>
      </c>
      <c r="AY125">
        <v>1272</v>
      </c>
      <c r="AZ125">
        <v>243</v>
      </c>
      <c r="BA125">
        <v>1668</v>
      </c>
      <c r="BB125">
        <v>292</v>
      </c>
      <c r="BC125" t="s">
        <v>311</v>
      </c>
      <c r="BD125" t="s">
        <v>311</v>
      </c>
      <c r="BE125" s="92">
        <v>5.6816282878246051E-4</v>
      </c>
      <c r="BF125" s="92">
        <v>3.7516413430876007E-4</v>
      </c>
      <c r="BG125" s="92">
        <v>6.0158417165201699E-4</v>
      </c>
      <c r="BH125" s="92">
        <v>3.7516413430876007E-4</v>
      </c>
      <c r="BI125" s="92">
        <v>1.7044884863473815E-3</v>
      </c>
      <c r="BJ125" s="92">
        <v>1.5006565372350403E-3</v>
      </c>
      <c r="BK125" s="92">
        <v>4.0439824872163365E-3</v>
      </c>
      <c r="BL125" s="92">
        <v>9.7542674920277628E-3</v>
      </c>
      <c r="BM125" s="92">
        <v>9.7924534607800543E-3</v>
      </c>
      <c r="BN125" s="92">
        <v>2.1947101857062466E-2</v>
      </c>
      <c r="BO125" s="92">
        <v>1.8114367835299624E-2</v>
      </c>
      <c r="BP125" s="92">
        <v>3.1513787281935844E-2</v>
      </c>
      <c r="BQ125" s="92">
        <v>2.8474984124862136E-2</v>
      </c>
      <c r="BR125" s="92">
        <v>3.4890264490714688E-2</v>
      </c>
      <c r="BS125" s="92">
        <v>4.2511948130075868E-2</v>
      </c>
      <c r="BT125" s="92">
        <v>4.5582442318514348E-2</v>
      </c>
      <c r="BU125" s="92">
        <v>5.5746799906420237E-2</v>
      </c>
      <c r="BV125" s="92">
        <v>5.477396360907897E-2</v>
      </c>
      <c r="BW125" s="92" t="s">
        <v>311</v>
      </c>
      <c r="BX125" s="92" t="s">
        <v>311</v>
      </c>
      <c r="BY125" s="92" t="s">
        <v>317</v>
      </c>
    </row>
    <row r="126" spans="1:77" hidden="1" x14ac:dyDescent="0.25">
      <c r="A126" s="87" t="s">
        <v>135</v>
      </c>
      <c r="B126" s="87" t="s">
        <v>311</v>
      </c>
      <c r="C126" s="87" t="s">
        <v>311</v>
      </c>
      <c r="D126" s="87" t="s">
        <v>311</v>
      </c>
      <c r="E126" s="87" t="s">
        <v>311</v>
      </c>
      <c r="F126" s="87">
        <v>39</v>
      </c>
      <c r="G126" s="87">
        <v>1</v>
      </c>
      <c r="H126" s="87">
        <v>40</v>
      </c>
      <c r="I126" s="87">
        <v>2549</v>
      </c>
      <c r="J126" s="87">
        <v>342</v>
      </c>
      <c r="K126" s="92" t="s">
        <v>311</v>
      </c>
      <c r="L126" s="92" t="s">
        <v>311</v>
      </c>
      <c r="M126" s="92" t="s">
        <v>311</v>
      </c>
      <c r="N126" s="92" t="s">
        <v>311</v>
      </c>
      <c r="O126" s="92">
        <v>1.5300117693213025E-2</v>
      </c>
      <c r="P126" s="92">
        <v>2.9239766081871343E-3</v>
      </c>
      <c r="Q126" s="92">
        <v>1.3836042891732965E-2</v>
      </c>
      <c r="R126" s="87">
        <v>36</v>
      </c>
      <c r="S126" s="87">
        <v>32</v>
      </c>
      <c r="T126" s="87" t="s">
        <v>269</v>
      </c>
      <c r="U126" s="87" t="s">
        <v>285</v>
      </c>
      <c r="V126" t="s">
        <v>265</v>
      </c>
      <c r="W126">
        <v>53</v>
      </c>
      <c r="X126">
        <v>16</v>
      </c>
      <c r="Y126">
        <v>0</v>
      </c>
      <c r="Z126">
        <v>0</v>
      </c>
      <c r="AA126">
        <v>0</v>
      </c>
      <c r="AB126">
        <v>0</v>
      </c>
      <c r="AC126">
        <v>69</v>
      </c>
      <c r="AD126" s="92">
        <v>2.0792467634366419E-2</v>
      </c>
      <c r="AE126" s="92">
        <v>4.6783625730994149E-2</v>
      </c>
      <c r="AF126" s="92">
        <v>0</v>
      </c>
      <c r="AG126" s="92">
        <v>0</v>
      </c>
      <c r="AH126" s="92">
        <v>0</v>
      </c>
      <c r="AI126" s="92">
        <v>0</v>
      </c>
      <c r="AJ126" s="92">
        <v>2.3867173988239364E-2</v>
      </c>
      <c r="AK126">
        <v>0</v>
      </c>
      <c r="AL126">
        <v>0</v>
      </c>
      <c r="AM126">
        <v>0</v>
      </c>
      <c r="AN126">
        <v>0</v>
      </c>
      <c r="AO126">
        <v>0</v>
      </c>
      <c r="AP126">
        <v>0</v>
      </c>
      <c r="AQ126">
        <v>0</v>
      </c>
      <c r="AR126">
        <v>0</v>
      </c>
      <c r="AS126">
        <v>0</v>
      </c>
      <c r="AT126">
        <v>0</v>
      </c>
      <c r="AU126">
        <v>0</v>
      </c>
      <c r="AV126">
        <v>0</v>
      </c>
      <c r="AW126">
        <v>0</v>
      </c>
      <c r="AX126">
        <v>0</v>
      </c>
      <c r="AY126">
        <v>0</v>
      </c>
      <c r="AZ126">
        <v>0</v>
      </c>
      <c r="BA126">
        <v>0</v>
      </c>
      <c r="BB126">
        <v>0</v>
      </c>
      <c r="BC126">
        <v>0</v>
      </c>
      <c r="BD126">
        <v>0</v>
      </c>
      <c r="BE126" s="92">
        <v>0</v>
      </c>
      <c r="BF126" s="92">
        <v>0</v>
      </c>
      <c r="BG126" s="92">
        <v>0</v>
      </c>
      <c r="BH126" s="92">
        <v>0</v>
      </c>
      <c r="BI126" s="92">
        <v>0</v>
      </c>
      <c r="BJ126" s="92">
        <v>0</v>
      </c>
      <c r="BK126" s="92">
        <v>0</v>
      </c>
      <c r="BL126" s="92">
        <v>0</v>
      </c>
      <c r="BM126" s="92">
        <v>0</v>
      </c>
      <c r="BN126" s="92">
        <v>0</v>
      </c>
      <c r="BO126" s="92">
        <v>0</v>
      </c>
      <c r="BP126" s="92">
        <v>0</v>
      </c>
      <c r="BQ126" s="92">
        <v>0</v>
      </c>
      <c r="BR126" s="92">
        <v>0</v>
      </c>
      <c r="BS126" s="92">
        <v>0</v>
      </c>
      <c r="BT126" s="92">
        <v>0</v>
      </c>
      <c r="BU126" s="92">
        <v>0</v>
      </c>
      <c r="BV126" s="92">
        <v>0</v>
      </c>
      <c r="BW126" s="92">
        <v>0</v>
      </c>
      <c r="BX126" s="92">
        <v>0</v>
      </c>
      <c r="BY126" s="92" t="s">
        <v>317</v>
      </c>
    </row>
    <row r="127" spans="1:77" hidden="1" x14ac:dyDescent="0.25">
      <c r="A127" s="86" t="s">
        <v>113</v>
      </c>
      <c r="B127" s="86" t="s">
        <v>311</v>
      </c>
      <c r="C127" s="86" t="s">
        <v>311</v>
      </c>
      <c r="D127" s="86" t="s">
        <v>311</v>
      </c>
      <c r="E127" s="86" t="s">
        <v>311</v>
      </c>
      <c r="F127" s="86">
        <v>0</v>
      </c>
      <c r="G127" s="86">
        <v>0</v>
      </c>
      <c r="H127" s="86">
        <v>0</v>
      </c>
      <c r="I127" s="86">
        <v>1423</v>
      </c>
      <c r="J127" s="86">
        <v>659</v>
      </c>
      <c r="K127" s="93" t="s">
        <v>311</v>
      </c>
      <c r="L127" s="93" t="s">
        <v>311</v>
      </c>
      <c r="M127" s="93" t="s">
        <v>311</v>
      </c>
      <c r="N127" s="93" t="s">
        <v>311</v>
      </c>
      <c r="O127" s="93">
        <v>0</v>
      </c>
      <c r="P127" s="93">
        <v>0</v>
      </c>
      <c r="Q127" s="93">
        <v>0</v>
      </c>
      <c r="R127" s="86">
        <v>46</v>
      </c>
      <c r="S127" s="86">
        <v>46</v>
      </c>
      <c r="T127" s="86" t="s">
        <v>269</v>
      </c>
      <c r="U127" s="86" t="s">
        <v>285</v>
      </c>
      <c r="V127" t="s">
        <v>265</v>
      </c>
      <c r="W127">
        <v>120</v>
      </c>
      <c r="X127">
        <v>117</v>
      </c>
      <c r="Y127">
        <v>94</v>
      </c>
      <c r="Z127">
        <v>53</v>
      </c>
      <c r="AA127">
        <v>0</v>
      </c>
      <c r="AB127">
        <v>0</v>
      </c>
      <c r="AC127">
        <v>384</v>
      </c>
      <c r="AD127" s="92">
        <v>8.4328882642304995E-2</v>
      </c>
      <c r="AE127" s="92">
        <v>0.17754172989377845</v>
      </c>
      <c r="AF127" s="92">
        <v>6.605762473647224E-2</v>
      </c>
      <c r="AG127" s="92">
        <v>8.042488619119878E-2</v>
      </c>
      <c r="AH127" s="92">
        <v>0</v>
      </c>
      <c r="AI127" s="92">
        <v>0</v>
      </c>
      <c r="AJ127" s="92">
        <v>0.18443804034582131</v>
      </c>
      <c r="AK127">
        <v>0</v>
      </c>
      <c r="AL127">
        <v>0</v>
      </c>
      <c r="AM127">
        <v>0</v>
      </c>
      <c r="AN127">
        <v>0</v>
      </c>
      <c r="AO127">
        <v>0</v>
      </c>
      <c r="AP127">
        <v>0</v>
      </c>
      <c r="AQ127">
        <v>0</v>
      </c>
      <c r="AR127">
        <v>0</v>
      </c>
      <c r="AS127">
        <v>0</v>
      </c>
      <c r="AT127">
        <v>0</v>
      </c>
      <c r="AU127">
        <v>0</v>
      </c>
      <c r="AV127">
        <v>0</v>
      </c>
      <c r="AW127">
        <v>0</v>
      </c>
      <c r="AX127">
        <v>0</v>
      </c>
      <c r="AY127">
        <v>0</v>
      </c>
      <c r="AZ127">
        <v>0</v>
      </c>
      <c r="BA127">
        <v>0</v>
      </c>
      <c r="BB127">
        <v>0</v>
      </c>
      <c r="BC127">
        <v>0</v>
      </c>
      <c r="BD127">
        <v>0</v>
      </c>
      <c r="BE127" s="92">
        <v>0</v>
      </c>
      <c r="BF127" s="92">
        <v>0</v>
      </c>
      <c r="BG127" s="92">
        <v>0</v>
      </c>
      <c r="BH127" s="92">
        <v>0</v>
      </c>
      <c r="BI127" s="92">
        <v>0</v>
      </c>
      <c r="BJ127" s="92">
        <v>0</v>
      </c>
      <c r="BK127" s="92">
        <v>0</v>
      </c>
      <c r="BL127" s="92">
        <v>0</v>
      </c>
      <c r="BM127" s="92">
        <v>0</v>
      </c>
      <c r="BN127" s="92">
        <v>0</v>
      </c>
      <c r="BO127" s="92">
        <v>0</v>
      </c>
      <c r="BP127" s="92">
        <v>0</v>
      </c>
      <c r="BQ127" s="92">
        <v>0</v>
      </c>
      <c r="BR127" s="92">
        <v>0</v>
      </c>
      <c r="BS127" s="92">
        <v>0</v>
      </c>
      <c r="BT127" s="92">
        <v>0</v>
      </c>
      <c r="BU127" s="92">
        <v>0</v>
      </c>
      <c r="BV127" s="92">
        <v>0</v>
      </c>
      <c r="BW127" s="92">
        <v>0</v>
      </c>
      <c r="BX127" s="92">
        <v>0</v>
      </c>
      <c r="BY127" s="92" t="s">
        <v>317</v>
      </c>
    </row>
    <row r="128" spans="1:77" hidden="1" x14ac:dyDescent="0.25">
      <c r="A128" s="87" t="s">
        <v>114</v>
      </c>
      <c r="B128" s="87">
        <v>5</v>
      </c>
      <c r="C128" s="87">
        <v>0</v>
      </c>
      <c r="D128" s="87">
        <v>1</v>
      </c>
      <c r="E128" s="87">
        <v>0</v>
      </c>
      <c r="F128" s="87">
        <v>0</v>
      </c>
      <c r="G128" s="87">
        <v>0</v>
      </c>
      <c r="H128" s="87">
        <v>0</v>
      </c>
      <c r="I128" s="87">
        <v>3182</v>
      </c>
      <c r="J128" s="87">
        <v>667</v>
      </c>
      <c r="K128" s="92">
        <v>1.5713387806411063E-3</v>
      </c>
      <c r="L128" s="92">
        <v>0</v>
      </c>
      <c r="M128" s="92">
        <v>3.1426775612822125E-4</v>
      </c>
      <c r="N128" s="92">
        <v>0</v>
      </c>
      <c r="O128" s="92">
        <v>0</v>
      </c>
      <c r="P128" s="92">
        <v>0</v>
      </c>
      <c r="Q128" s="92">
        <v>0</v>
      </c>
      <c r="R128" s="87">
        <v>46</v>
      </c>
      <c r="S128" s="87">
        <v>46</v>
      </c>
      <c r="T128" s="87" t="s">
        <v>269</v>
      </c>
      <c r="U128" s="87" t="s">
        <v>286</v>
      </c>
      <c r="V128" t="s">
        <v>265</v>
      </c>
      <c r="W128">
        <v>19</v>
      </c>
      <c r="X128">
        <v>17</v>
      </c>
      <c r="Y128">
        <v>248</v>
      </c>
      <c r="Z128">
        <v>7</v>
      </c>
      <c r="AA128">
        <v>0</v>
      </c>
      <c r="AB128">
        <v>0</v>
      </c>
      <c r="AC128">
        <v>291</v>
      </c>
      <c r="AD128" s="92">
        <v>5.9710873664362034E-3</v>
      </c>
      <c r="AE128" s="92">
        <v>2.5487256371814093E-2</v>
      </c>
      <c r="AF128" s="92">
        <v>7.7938403519798874E-2</v>
      </c>
      <c r="AG128" s="92">
        <v>1.0494752623688156E-2</v>
      </c>
      <c r="AH128" s="92">
        <v>0</v>
      </c>
      <c r="AI128" s="92">
        <v>0</v>
      </c>
      <c r="AJ128" s="92">
        <v>7.5604053000779423E-2</v>
      </c>
      <c r="AK128">
        <v>0</v>
      </c>
      <c r="AL128">
        <v>0</v>
      </c>
      <c r="AM128">
        <v>0</v>
      </c>
      <c r="AN128">
        <v>0</v>
      </c>
      <c r="AO128">
        <v>0</v>
      </c>
      <c r="AP128">
        <v>0</v>
      </c>
      <c r="AQ128">
        <v>0</v>
      </c>
      <c r="AR128">
        <v>0</v>
      </c>
      <c r="AS128">
        <v>0</v>
      </c>
      <c r="AT128">
        <v>0</v>
      </c>
      <c r="AU128">
        <v>0</v>
      </c>
      <c r="AV128">
        <v>0</v>
      </c>
      <c r="AW128">
        <v>0</v>
      </c>
      <c r="AX128">
        <v>0</v>
      </c>
      <c r="AY128">
        <v>0</v>
      </c>
      <c r="AZ128">
        <v>0</v>
      </c>
      <c r="BA128">
        <v>0</v>
      </c>
      <c r="BB128">
        <v>0</v>
      </c>
      <c r="BC128">
        <v>0</v>
      </c>
      <c r="BD128">
        <v>0</v>
      </c>
      <c r="BE128" s="92">
        <v>0</v>
      </c>
      <c r="BF128" s="92">
        <v>0</v>
      </c>
      <c r="BG128" s="92">
        <v>0</v>
      </c>
      <c r="BH128" s="92">
        <v>0</v>
      </c>
      <c r="BI128" s="92">
        <v>0</v>
      </c>
      <c r="BJ128" s="92">
        <v>0</v>
      </c>
      <c r="BK128" s="92">
        <v>0</v>
      </c>
      <c r="BL128" s="92">
        <v>0</v>
      </c>
      <c r="BM128" s="92">
        <v>0</v>
      </c>
      <c r="BN128" s="92">
        <v>0</v>
      </c>
      <c r="BO128" s="92">
        <v>0</v>
      </c>
      <c r="BP128" s="92">
        <v>0</v>
      </c>
      <c r="BQ128" s="92">
        <v>0</v>
      </c>
      <c r="BR128" s="92">
        <v>0</v>
      </c>
      <c r="BS128" s="92">
        <v>0</v>
      </c>
      <c r="BT128" s="92">
        <v>0</v>
      </c>
      <c r="BU128" s="92">
        <v>0</v>
      </c>
      <c r="BV128" s="92">
        <v>0</v>
      </c>
      <c r="BW128" s="92">
        <v>0</v>
      </c>
      <c r="BX128" s="92">
        <v>0</v>
      </c>
      <c r="BY128" s="92" t="s">
        <v>318</v>
      </c>
    </row>
    <row r="129" spans="1:77" hidden="1" x14ac:dyDescent="0.25">
      <c r="A129" s="86" t="s">
        <v>115</v>
      </c>
      <c r="B129" s="86">
        <v>131</v>
      </c>
      <c r="C129" s="86">
        <v>125</v>
      </c>
      <c r="D129" s="86">
        <v>0</v>
      </c>
      <c r="E129" s="86">
        <v>0</v>
      </c>
      <c r="F129" s="86">
        <v>0</v>
      </c>
      <c r="G129" s="86">
        <v>0</v>
      </c>
      <c r="H129" s="86">
        <v>0</v>
      </c>
      <c r="I129" s="86">
        <v>14844</v>
      </c>
      <c r="J129" s="86">
        <v>2015</v>
      </c>
      <c r="K129" s="93">
        <v>8.8251145243869577E-3</v>
      </c>
      <c r="L129" s="93">
        <v>6.2034739454094295E-2</v>
      </c>
      <c r="M129" s="93">
        <v>0</v>
      </c>
      <c r="N129" s="93">
        <v>0</v>
      </c>
      <c r="O129" s="93">
        <v>0</v>
      </c>
      <c r="P129" s="93">
        <v>0</v>
      </c>
      <c r="Q129" s="93">
        <v>0</v>
      </c>
      <c r="R129" s="86">
        <v>46</v>
      </c>
      <c r="S129" s="86">
        <v>46</v>
      </c>
      <c r="T129" s="86" t="s">
        <v>269</v>
      </c>
      <c r="U129" s="86" t="s">
        <v>286</v>
      </c>
      <c r="V129" t="s">
        <v>265</v>
      </c>
      <c r="W129">
        <v>84</v>
      </c>
      <c r="X129">
        <v>48</v>
      </c>
      <c r="Y129">
        <v>284</v>
      </c>
      <c r="Z129">
        <v>158</v>
      </c>
      <c r="AA129">
        <v>0</v>
      </c>
      <c r="AB129">
        <v>0</v>
      </c>
      <c r="AC129">
        <v>574</v>
      </c>
      <c r="AD129" s="92">
        <v>5.6588520614389648E-3</v>
      </c>
      <c r="AE129" s="92">
        <v>2.3821339950372208E-2</v>
      </c>
      <c r="AF129" s="92">
        <v>1.9132309350579357E-2</v>
      </c>
      <c r="AG129" s="92">
        <v>7.8411910669975188E-2</v>
      </c>
      <c r="AH129" s="92">
        <v>0</v>
      </c>
      <c r="AI129" s="92">
        <v>0</v>
      </c>
      <c r="AJ129" s="92">
        <v>3.4047096506317098E-2</v>
      </c>
      <c r="AK129">
        <v>0</v>
      </c>
      <c r="AL129">
        <v>0</v>
      </c>
      <c r="AM129">
        <v>0</v>
      </c>
      <c r="AN129">
        <v>0</v>
      </c>
      <c r="AO129">
        <v>0</v>
      </c>
      <c r="AP129">
        <v>0</v>
      </c>
      <c r="AQ129">
        <v>0</v>
      </c>
      <c r="AR129">
        <v>37</v>
      </c>
      <c r="AS129">
        <v>53</v>
      </c>
      <c r="AT129">
        <v>81</v>
      </c>
      <c r="AU129">
        <v>75</v>
      </c>
      <c r="AV129">
        <v>88</v>
      </c>
      <c r="AW129">
        <v>87</v>
      </c>
      <c r="AX129">
        <v>97</v>
      </c>
      <c r="AY129">
        <v>136</v>
      </c>
      <c r="AZ129">
        <v>120</v>
      </c>
      <c r="BA129">
        <v>228</v>
      </c>
      <c r="BB129">
        <v>132</v>
      </c>
      <c r="BC129" t="s">
        <v>311</v>
      </c>
      <c r="BD129" t="s">
        <v>311</v>
      </c>
      <c r="BE129" s="92">
        <v>0</v>
      </c>
      <c r="BF129" s="92">
        <v>0</v>
      </c>
      <c r="BG129" s="92">
        <v>0</v>
      </c>
      <c r="BH129" s="92">
        <v>0</v>
      </c>
      <c r="BI129" s="92">
        <v>0</v>
      </c>
      <c r="BJ129" s="92">
        <v>0</v>
      </c>
      <c r="BK129" s="92">
        <v>0</v>
      </c>
      <c r="BL129" s="92">
        <v>1.836228287841191E-2</v>
      </c>
      <c r="BM129" s="92">
        <v>3.5704661816222043E-3</v>
      </c>
      <c r="BN129" s="92">
        <v>4.0198511166253101E-2</v>
      </c>
      <c r="BO129" s="92">
        <v>5.0525464834276475E-3</v>
      </c>
      <c r="BP129" s="92">
        <v>4.3672456575682382E-2</v>
      </c>
      <c r="BQ129" s="92">
        <v>5.8609539207760712E-3</v>
      </c>
      <c r="BR129" s="92">
        <v>4.813895781637717E-2</v>
      </c>
      <c r="BS129" s="92">
        <v>9.1619509566154677E-3</v>
      </c>
      <c r="BT129" s="92">
        <v>5.9553349875930521E-2</v>
      </c>
      <c r="BU129" s="92">
        <v>1.5359741309620048E-2</v>
      </c>
      <c r="BV129" s="92">
        <v>6.550868486352357E-2</v>
      </c>
      <c r="BW129" s="92" t="s">
        <v>311</v>
      </c>
      <c r="BX129" s="92" t="s">
        <v>311</v>
      </c>
      <c r="BY129" s="92" t="s">
        <v>317</v>
      </c>
    </row>
    <row r="130" spans="1:77" hidden="1" x14ac:dyDescent="0.25">
      <c r="A130" s="87" t="s">
        <v>116</v>
      </c>
      <c r="B130" s="87" t="s">
        <v>311</v>
      </c>
      <c r="C130" s="87" t="s">
        <v>311</v>
      </c>
      <c r="D130" s="87" t="s">
        <v>311</v>
      </c>
      <c r="E130" s="87" t="s">
        <v>311</v>
      </c>
      <c r="F130" s="87">
        <v>0</v>
      </c>
      <c r="G130" s="87">
        <v>0</v>
      </c>
      <c r="H130" s="87">
        <v>0</v>
      </c>
      <c r="I130" s="87">
        <v>8013</v>
      </c>
      <c r="J130" s="87">
        <v>2135</v>
      </c>
      <c r="K130" s="92" t="s">
        <v>311</v>
      </c>
      <c r="L130" s="92" t="s">
        <v>311</v>
      </c>
      <c r="M130" s="92" t="s">
        <v>311</v>
      </c>
      <c r="N130" s="92" t="s">
        <v>311</v>
      </c>
      <c r="O130" s="92">
        <v>0</v>
      </c>
      <c r="P130" s="92">
        <v>0</v>
      </c>
      <c r="Q130" s="92">
        <v>0</v>
      </c>
      <c r="R130" s="87">
        <v>46</v>
      </c>
      <c r="S130" s="87">
        <v>46</v>
      </c>
      <c r="T130" s="87" t="s">
        <v>269</v>
      </c>
      <c r="U130" s="87" t="s">
        <v>285</v>
      </c>
      <c r="V130" t="s">
        <v>265</v>
      </c>
      <c r="W130">
        <v>38</v>
      </c>
      <c r="X130">
        <v>2</v>
      </c>
      <c r="Y130">
        <v>113</v>
      </c>
      <c r="Z130">
        <v>0</v>
      </c>
      <c r="AA130">
        <v>0</v>
      </c>
      <c r="AB130">
        <v>0</v>
      </c>
      <c r="AC130">
        <v>153</v>
      </c>
      <c r="AD130" s="92">
        <v>4.7422937726194934E-3</v>
      </c>
      <c r="AE130" s="92">
        <v>9.3676814988290398E-4</v>
      </c>
      <c r="AF130" s="92">
        <v>1.4102084113315861E-2</v>
      </c>
      <c r="AG130" s="92">
        <v>0</v>
      </c>
      <c r="AH130" s="92">
        <v>0</v>
      </c>
      <c r="AI130" s="92">
        <v>0</v>
      </c>
      <c r="AJ130" s="92">
        <v>1.507686243594797E-2</v>
      </c>
      <c r="AK130">
        <v>0</v>
      </c>
      <c r="AL130">
        <v>0</v>
      </c>
      <c r="AM130">
        <v>0</v>
      </c>
      <c r="AN130">
        <v>0</v>
      </c>
      <c r="AO130">
        <v>0</v>
      </c>
      <c r="AP130">
        <v>0</v>
      </c>
      <c r="AQ130">
        <v>0</v>
      </c>
      <c r="AR130">
        <v>0</v>
      </c>
      <c r="AS130">
        <v>0</v>
      </c>
      <c r="AT130">
        <v>0</v>
      </c>
      <c r="AU130">
        <v>0</v>
      </c>
      <c r="AV130">
        <v>0</v>
      </c>
      <c r="AW130">
        <v>0</v>
      </c>
      <c r="AX130">
        <v>0</v>
      </c>
      <c r="AY130">
        <v>0</v>
      </c>
      <c r="AZ130">
        <v>0</v>
      </c>
      <c r="BA130">
        <v>0</v>
      </c>
      <c r="BB130">
        <v>0</v>
      </c>
      <c r="BC130">
        <v>0</v>
      </c>
      <c r="BD130">
        <v>0</v>
      </c>
      <c r="BE130" s="92">
        <v>0</v>
      </c>
      <c r="BF130" s="92">
        <v>0</v>
      </c>
      <c r="BG130" s="92">
        <v>0</v>
      </c>
      <c r="BH130" s="92">
        <v>0</v>
      </c>
      <c r="BI130" s="92">
        <v>0</v>
      </c>
      <c r="BJ130" s="92">
        <v>0</v>
      </c>
      <c r="BK130" s="92">
        <v>0</v>
      </c>
      <c r="BL130" s="92">
        <v>0</v>
      </c>
      <c r="BM130" s="92">
        <v>0</v>
      </c>
      <c r="BN130" s="92">
        <v>0</v>
      </c>
      <c r="BO130" s="92">
        <v>0</v>
      </c>
      <c r="BP130" s="92">
        <v>0</v>
      </c>
      <c r="BQ130" s="92">
        <v>0</v>
      </c>
      <c r="BR130" s="92">
        <v>0</v>
      </c>
      <c r="BS130" s="92">
        <v>0</v>
      </c>
      <c r="BT130" s="92">
        <v>0</v>
      </c>
      <c r="BU130" s="92">
        <v>0</v>
      </c>
      <c r="BV130" s="92">
        <v>0</v>
      </c>
      <c r="BW130" s="92">
        <v>0</v>
      </c>
      <c r="BX130" s="92">
        <v>0</v>
      </c>
      <c r="BY130" s="92" t="s">
        <v>317</v>
      </c>
    </row>
    <row r="131" spans="1:77" hidden="1" x14ac:dyDescent="0.25">
      <c r="A131" s="86" t="s">
        <v>117</v>
      </c>
      <c r="B131" s="86">
        <v>28</v>
      </c>
      <c r="C131" s="86">
        <v>0</v>
      </c>
      <c r="D131" s="86">
        <v>11</v>
      </c>
      <c r="E131" s="86">
        <v>0</v>
      </c>
      <c r="F131" s="86">
        <v>959</v>
      </c>
      <c r="G131" s="86">
        <v>98</v>
      </c>
      <c r="H131" s="86">
        <v>1057</v>
      </c>
      <c r="I131" s="86">
        <v>39202</v>
      </c>
      <c r="J131" s="86">
        <v>8516</v>
      </c>
      <c r="K131" s="93">
        <v>7.1424927299627568E-4</v>
      </c>
      <c r="L131" s="93">
        <v>0</v>
      </c>
      <c r="M131" s="93">
        <v>2.805979286771083E-4</v>
      </c>
      <c r="N131" s="93">
        <v>0</v>
      </c>
      <c r="O131" s="93">
        <v>2.4463037600122441E-2</v>
      </c>
      <c r="P131" s="93">
        <v>1.1507750117426021E-2</v>
      </c>
      <c r="Q131" s="93">
        <v>2.2150970283750366E-2</v>
      </c>
      <c r="R131" s="86">
        <v>21</v>
      </c>
      <c r="S131" s="86">
        <v>29</v>
      </c>
      <c r="T131" s="86" t="s">
        <v>269</v>
      </c>
      <c r="U131" s="86" t="s">
        <v>285</v>
      </c>
      <c r="V131" t="s">
        <v>265</v>
      </c>
      <c r="W131">
        <v>117</v>
      </c>
      <c r="X131">
        <v>6</v>
      </c>
      <c r="Y131">
        <v>307</v>
      </c>
      <c r="Z131">
        <v>57</v>
      </c>
      <c r="AA131">
        <v>0</v>
      </c>
      <c r="AB131">
        <v>0</v>
      </c>
      <c r="AC131">
        <v>487</v>
      </c>
      <c r="AD131" s="92">
        <v>2.9845416050201519E-3</v>
      </c>
      <c r="AE131" s="92">
        <v>7.045561296383278E-4</v>
      </c>
      <c r="AF131" s="92">
        <v>7.8312331003520235E-3</v>
      </c>
      <c r="AG131" s="92">
        <v>6.6932832315641146E-3</v>
      </c>
      <c r="AH131" s="92">
        <v>0</v>
      </c>
      <c r="AI131" s="92">
        <v>0</v>
      </c>
      <c r="AJ131" s="92">
        <v>1.0205792363468712E-2</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s="92">
        <v>0</v>
      </c>
      <c r="BF131" s="92">
        <v>0</v>
      </c>
      <c r="BG131" s="92">
        <v>0</v>
      </c>
      <c r="BH131" s="92">
        <v>0</v>
      </c>
      <c r="BI131" s="92">
        <v>0</v>
      </c>
      <c r="BJ131" s="92">
        <v>0</v>
      </c>
      <c r="BK131" s="92">
        <v>0</v>
      </c>
      <c r="BL131" s="92">
        <v>0</v>
      </c>
      <c r="BM131" s="92">
        <v>0</v>
      </c>
      <c r="BN131" s="92">
        <v>0</v>
      </c>
      <c r="BO131" s="92">
        <v>0</v>
      </c>
      <c r="BP131" s="92">
        <v>0</v>
      </c>
      <c r="BQ131" s="92">
        <v>0</v>
      </c>
      <c r="BR131" s="92">
        <v>0</v>
      </c>
      <c r="BS131" s="92">
        <v>0</v>
      </c>
      <c r="BT131" s="92">
        <v>0</v>
      </c>
      <c r="BU131" s="92">
        <v>0</v>
      </c>
      <c r="BV131" s="92">
        <v>0</v>
      </c>
      <c r="BW131" s="92">
        <v>0</v>
      </c>
      <c r="BX131" s="92">
        <v>0</v>
      </c>
      <c r="BY131" s="92" t="s">
        <v>317</v>
      </c>
    </row>
    <row r="132" spans="1:77" hidden="1" x14ac:dyDescent="0.25">
      <c r="A132" s="87" t="s">
        <v>118</v>
      </c>
      <c r="B132" s="87" t="s">
        <v>311</v>
      </c>
      <c r="C132" s="87" t="s">
        <v>311</v>
      </c>
      <c r="D132" s="87" t="s">
        <v>311</v>
      </c>
      <c r="E132" s="87" t="s">
        <v>311</v>
      </c>
      <c r="F132" s="87">
        <v>0</v>
      </c>
      <c r="G132" s="87">
        <v>0</v>
      </c>
      <c r="H132" s="87">
        <v>0</v>
      </c>
      <c r="I132" s="87">
        <v>1798</v>
      </c>
      <c r="J132" s="87">
        <v>527</v>
      </c>
      <c r="K132" s="92" t="s">
        <v>311</v>
      </c>
      <c r="L132" s="92" t="s">
        <v>311</v>
      </c>
      <c r="M132" s="92" t="s">
        <v>311</v>
      </c>
      <c r="N132" s="92" t="s">
        <v>311</v>
      </c>
      <c r="O132" s="92">
        <v>0</v>
      </c>
      <c r="P132" s="92">
        <v>0</v>
      </c>
      <c r="Q132" s="92">
        <v>0</v>
      </c>
      <c r="R132" s="87">
        <v>46</v>
      </c>
      <c r="S132" s="87">
        <v>46</v>
      </c>
      <c r="T132" s="87" t="s">
        <v>269</v>
      </c>
      <c r="U132" s="87" t="s">
        <v>286</v>
      </c>
      <c r="V132" t="s">
        <v>265</v>
      </c>
      <c r="W132">
        <v>18</v>
      </c>
      <c r="X132">
        <v>32</v>
      </c>
      <c r="Y132">
        <v>9</v>
      </c>
      <c r="Z132">
        <v>2</v>
      </c>
      <c r="AA132">
        <v>0</v>
      </c>
      <c r="AB132">
        <v>0</v>
      </c>
      <c r="AC132">
        <v>61</v>
      </c>
      <c r="AD132" s="92">
        <v>1.0011123470522803E-2</v>
      </c>
      <c r="AE132" s="92">
        <v>6.0721062618595827E-2</v>
      </c>
      <c r="AF132" s="92">
        <v>5.0055617352614016E-3</v>
      </c>
      <c r="AG132" s="92">
        <v>3.7950664136622392E-3</v>
      </c>
      <c r="AH132" s="92">
        <v>0</v>
      </c>
      <c r="AI132" s="92">
        <v>0</v>
      </c>
      <c r="AJ132" s="92">
        <v>2.6236559139784947E-2</v>
      </c>
      <c r="AK132">
        <v>0</v>
      </c>
      <c r="AL132">
        <v>0</v>
      </c>
      <c r="AM132">
        <v>0</v>
      </c>
      <c r="AN132">
        <v>0</v>
      </c>
      <c r="AO132">
        <v>0</v>
      </c>
      <c r="AP132">
        <v>0</v>
      </c>
      <c r="AQ132">
        <v>0</v>
      </c>
      <c r="AR132">
        <v>0</v>
      </c>
      <c r="AS132">
        <v>0</v>
      </c>
      <c r="AT132">
        <v>0</v>
      </c>
      <c r="AU132">
        <v>0</v>
      </c>
      <c r="AV132">
        <v>0</v>
      </c>
      <c r="AW132">
        <v>0</v>
      </c>
      <c r="AX132">
        <v>0</v>
      </c>
      <c r="AY132">
        <v>0</v>
      </c>
      <c r="AZ132">
        <v>0</v>
      </c>
      <c r="BA132">
        <v>0</v>
      </c>
      <c r="BB132">
        <v>0</v>
      </c>
      <c r="BC132">
        <v>0</v>
      </c>
      <c r="BD132">
        <v>0</v>
      </c>
      <c r="BE132" s="92">
        <v>0</v>
      </c>
      <c r="BF132" s="92">
        <v>0</v>
      </c>
      <c r="BG132" s="92">
        <v>0</v>
      </c>
      <c r="BH132" s="92">
        <v>0</v>
      </c>
      <c r="BI132" s="92">
        <v>0</v>
      </c>
      <c r="BJ132" s="92">
        <v>0</v>
      </c>
      <c r="BK132" s="92">
        <v>0</v>
      </c>
      <c r="BL132" s="92">
        <v>0</v>
      </c>
      <c r="BM132" s="92">
        <v>0</v>
      </c>
      <c r="BN132" s="92">
        <v>0</v>
      </c>
      <c r="BO132" s="92">
        <v>0</v>
      </c>
      <c r="BP132" s="92">
        <v>0</v>
      </c>
      <c r="BQ132" s="92">
        <v>0</v>
      </c>
      <c r="BR132" s="92">
        <v>0</v>
      </c>
      <c r="BS132" s="92">
        <v>0</v>
      </c>
      <c r="BT132" s="92">
        <v>0</v>
      </c>
      <c r="BU132" s="92">
        <v>0</v>
      </c>
      <c r="BV132" s="92">
        <v>0</v>
      </c>
      <c r="BW132" s="92">
        <v>0</v>
      </c>
      <c r="BX132" s="92">
        <v>0</v>
      </c>
      <c r="BY132" s="92" t="s">
        <v>318</v>
      </c>
    </row>
    <row r="133" spans="1:77" hidden="1" x14ac:dyDescent="0.25">
      <c r="A133" s="86" t="s">
        <v>112</v>
      </c>
      <c r="B133" s="86" t="s">
        <v>311</v>
      </c>
      <c r="C133" s="86" t="s">
        <v>311</v>
      </c>
      <c r="D133" s="86" t="s">
        <v>311</v>
      </c>
      <c r="E133" s="86" t="s">
        <v>311</v>
      </c>
      <c r="F133" s="86">
        <v>0</v>
      </c>
      <c r="G133" s="86">
        <v>0</v>
      </c>
      <c r="H133" s="86">
        <v>0</v>
      </c>
      <c r="I133" s="86">
        <v>2732</v>
      </c>
      <c r="J133" s="86">
        <v>1034</v>
      </c>
      <c r="K133" s="93" t="s">
        <v>311</v>
      </c>
      <c r="L133" s="93" t="s">
        <v>311</v>
      </c>
      <c r="M133" s="93" t="s">
        <v>311</v>
      </c>
      <c r="N133" s="93" t="s">
        <v>311</v>
      </c>
      <c r="O133" s="93">
        <v>0</v>
      </c>
      <c r="P133" s="93">
        <v>0</v>
      </c>
      <c r="Q133" s="93">
        <v>0</v>
      </c>
      <c r="R133" s="86">
        <v>46</v>
      </c>
      <c r="S133" s="86">
        <v>46</v>
      </c>
      <c r="T133" s="86" t="s">
        <v>269</v>
      </c>
      <c r="U133" s="86" t="s">
        <v>286</v>
      </c>
      <c r="V133" t="s">
        <v>265</v>
      </c>
      <c r="W133">
        <v>31</v>
      </c>
      <c r="X133">
        <v>4</v>
      </c>
      <c r="Y133">
        <v>690</v>
      </c>
      <c r="Z133">
        <v>66</v>
      </c>
      <c r="AA133">
        <v>0</v>
      </c>
      <c r="AB133">
        <v>0</v>
      </c>
      <c r="AC133">
        <v>791</v>
      </c>
      <c r="AD133" s="92">
        <v>1.1346998535871157E-2</v>
      </c>
      <c r="AE133" s="92">
        <v>3.8684719535783366E-3</v>
      </c>
      <c r="AF133" s="92">
        <v>0.25256222547584189</v>
      </c>
      <c r="AG133" s="92">
        <v>6.3829787234042548E-2</v>
      </c>
      <c r="AH133" s="92">
        <v>0</v>
      </c>
      <c r="AI133" s="92">
        <v>0</v>
      </c>
      <c r="AJ133" s="92">
        <v>0.2100371747211896</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s="92">
        <v>0</v>
      </c>
      <c r="BF133" s="92">
        <v>0</v>
      </c>
      <c r="BG133" s="92">
        <v>0</v>
      </c>
      <c r="BH133" s="92">
        <v>0</v>
      </c>
      <c r="BI133" s="92">
        <v>0</v>
      </c>
      <c r="BJ133" s="92">
        <v>0</v>
      </c>
      <c r="BK133" s="92">
        <v>0</v>
      </c>
      <c r="BL133" s="92">
        <v>0</v>
      </c>
      <c r="BM133" s="92">
        <v>0</v>
      </c>
      <c r="BN133" s="92">
        <v>0</v>
      </c>
      <c r="BO133" s="92">
        <v>0</v>
      </c>
      <c r="BP133" s="92">
        <v>0</v>
      </c>
      <c r="BQ133" s="92">
        <v>0</v>
      </c>
      <c r="BR133" s="92">
        <v>0</v>
      </c>
      <c r="BS133" s="92">
        <v>0</v>
      </c>
      <c r="BT133" s="92">
        <v>0</v>
      </c>
      <c r="BU133" s="92">
        <v>0</v>
      </c>
      <c r="BV133" s="92">
        <v>0</v>
      </c>
      <c r="BW133" s="92">
        <v>0</v>
      </c>
      <c r="BX133" s="92">
        <v>0</v>
      </c>
      <c r="BY133" s="92" t="s">
        <v>318</v>
      </c>
    </row>
    <row r="134" spans="1:77" hidden="1" x14ac:dyDescent="0.25">
      <c r="A134" s="87" t="s">
        <v>119</v>
      </c>
      <c r="B134" s="87">
        <v>18091</v>
      </c>
      <c r="C134" s="87">
        <v>879</v>
      </c>
      <c r="D134" s="87">
        <v>7101</v>
      </c>
      <c r="E134" s="87">
        <v>231</v>
      </c>
      <c r="F134" s="87">
        <v>1484</v>
      </c>
      <c r="G134" s="87">
        <v>89</v>
      </c>
      <c r="H134" s="87">
        <v>1573</v>
      </c>
      <c r="I134" s="87">
        <v>48377</v>
      </c>
      <c r="J134" s="87">
        <v>3023</v>
      </c>
      <c r="K134" s="92">
        <v>0.37395869938193771</v>
      </c>
      <c r="L134" s="92">
        <v>0.2907707575256368</v>
      </c>
      <c r="M134" s="92">
        <v>0.1467846290592637</v>
      </c>
      <c r="N134" s="92">
        <v>7.6414158121071787E-2</v>
      </c>
      <c r="O134" s="92">
        <v>3.0675734336564897E-2</v>
      </c>
      <c r="P134" s="92">
        <v>2.9440952695997353E-2</v>
      </c>
      <c r="Q134" s="92">
        <v>3.0603112840466927E-2</v>
      </c>
      <c r="R134" s="87">
        <v>17</v>
      </c>
      <c r="S134" s="87">
        <v>26</v>
      </c>
      <c r="T134" s="87" t="s">
        <v>269</v>
      </c>
      <c r="U134" s="87" t="s">
        <v>286</v>
      </c>
      <c r="V134" t="s">
        <v>265</v>
      </c>
      <c r="W134">
        <v>3128</v>
      </c>
      <c r="X134">
        <v>315</v>
      </c>
      <c r="Y134">
        <v>530</v>
      </c>
      <c r="Z134">
        <v>47</v>
      </c>
      <c r="AA134">
        <v>0</v>
      </c>
      <c r="AB134">
        <v>0</v>
      </c>
      <c r="AC134">
        <v>4020</v>
      </c>
      <c r="AD134" s="92">
        <v>6.4658825474915763E-2</v>
      </c>
      <c r="AE134" s="92">
        <v>0.10420112471055243</v>
      </c>
      <c r="AF134" s="92">
        <v>1.0955619405916035E-2</v>
      </c>
      <c r="AG134" s="92">
        <v>1.5547469401257029E-2</v>
      </c>
      <c r="AH134" s="92">
        <v>0</v>
      </c>
      <c r="AI134" s="92">
        <v>0</v>
      </c>
      <c r="AJ134" s="92">
        <v>7.8210116731517509E-2</v>
      </c>
      <c r="AK134">
        <v>79</v>
      </c>
      <c r="AL134">
        <v>3</v>
      </c>
      <c r="AM134">
        <v>87</v>
      </c>
      <c r="AN134">
        <v>3</v>
      </c>
      <c r="AO134">
        <v>102</v>
      </c>
      <c r="AP134">
        <v>4</v>
      </c>
      <c r="AQ134">
        <v>119</v>
      </c>
      <c r="AR134">
        <v>6</v>
      </c>
      <c r="AS134">
        <v>135</v>
      </c>
      <c r="AT134">
        <v>9</v>
      </c>
      <c r="AU134">
        <v>151</v>
      </c>
      <c r="AV134">
        <v>12</v>
      </c>
      <c r="AW134">
        <v>165</v>
      </c>
      <c r="AX134">
        <v>14</v>
      </c>
      <c r="AY134">
        <v>174</v>
      </c>
      <c r="AZ134">
        <v>15</v>
      </c>
      <c r="BA134">
        <v>196</v>
      </c>
      <c r="BB134">
        <v>17</v>
      </c>
      <c r="BC134">
        <v>218</v>
      </c>
      <c r="BD134">
        <v>19</v>
      </c>
      <c r="BE134" s="92">
        <v>1.6330074208818241E-3</v>
      </c>
      <c r="BF134" s="92">
        <v>9.9239166391002311E-4</v>
      </c>
      <c r="BG134" s="92">
        <v>1.7983752609711226E-3</v>
      </c>
      <c r="BH134" s="92">
        <v>9.9239166391002311E-4</v>
      </c>
      <c r="BI134" s="92">
        <v>2.1084399611385578E-3</v>
      </c>
      <c r="BJ134" s="92">
        <v>1.3231888852133643E-3</v>
      </c>
      <c r="BK134" s="92">
        <v>2.4598466213283173E-3</v>
      </c>
      <c r="BL134" s="92">
        <v>1.9847833278200462E-3</v>
      </c>
      <c r="BM134" s="92">
        <v>2.7905823015069143E-3</v>
      </c>
      <c r="BN134" s="92">
        <v>2.9771749917300696E-3</v>
      </c>
      <c r="BO134" s="92">
        <v>3.1213179816855117E-3</v>
      </c>
      <c r="BP134" s="92">
        <v>3.9695666556400925E-3</v>
      </c>
      <c r="BQ134" s="92">
        <v>3.4107117018417842E-3</v>
      </c>
      <c r="BR134" s="92">
        <v>4.6311610982467744E-3</v>
      </c>
      <c r="BS134" s="92">
        <v>3.5967505219422452E-3</v>
      </c>
      <c r="BT134" s="92">
        <v>4.9619583195501154E-3</v>
      </c>
      <c r="BU134" s="92">
        <v>4.0515120821878166E-3</v>
      </c>
      <c r="BV134" s="92">
        <v>5.6235527621567982E-3</v>
      </c>
      <c r="BW134" s="92">
        <v>4.5062736424333876E-3</v>
      </c>
      <c r="BX134" s="92">
        <v>6.2851472047634801E-3</v>
      </c>
      <c r="BY134" s="92" t="s">
        <v>317</v>
      </c>
    </row>
    <row r="135" spans="1:77" hidden="1" x14ac:dyDescent="0.25">
      <c r="A135" s="88" t="s">
        <v>120</v>
      </c>
      <c r="B135" s="88" t="s">
        <v>311</v>
      </c>
      <c r="C135" s="88" t="s">
        <v>311</v>
      </c>
      <c r="D135" s="88" t="s">
        <v>311</v>
      </c>
      <c r="E135" s="88" t="s">
        <v>311</v>
      </c>
      <c r="F135" s="88">
        <v>0</v>
      </c>
      <c r="G135" s="88">
        <v>0</v>
      </c>
      <c r="H135" s="88">
        <v>0</v>
      </c>
      <c r="I135" s="88">
        <v>7371</v>
      </c>
      <c r="J135" s="88">
        <v>694</v>
      </c>
      <c r="K135" s="94" t="s">
        <v>311</v>
      </c>
      <c r="L135" s="94" t="s">
        <v>311</v>
      </c>
      <c r="M135" s="94" t="s">
        <v>311</v>
      </c>
      <c r="N135" s="94" t="s">
        <v>311</v>
      </c>
      <c r="O135" s="94">
        <v>0</v>
      </c>
      <c r="P135" s="94">
        <v>0</v>
      </c>
      <c r="Q135" s="94">
        <v>0</v>
      </c>
      <c r="R135" s="88">
        <v>46</v>
      </c>
      <c r="S135" s="88">
        <v>46</v>
      </c>
      <c r="T135" s="88" t="s">
        <v>269</v>
      </c>
      <c r="U135" s="88" t="s">
        <v>285</v>
      </c>
      <c r="V135" t="s">
        <v>265</v>
      </c>
      <c r="W135">
        <v>71</v>
      </c>
      <c r="X135">
        <v>10</v>
      </c>
      <c r="Y135">
        <v>394</v>
      </c>
      <c r="Z135">
        <v>11</v>
      </c>
      <c r="AA135">
        <v>0</v>
      </c>
      <c r="AB135">
        <v>0</v>
      </c>
      <c r="AC135">
        <v>486</v>
      </c>
      <c r="AD135" s="92">
        <v>9.6323429656762997E-3</v>
      </c>
      <c r="AE135" s="92">
        <v>1.4409221902017291E-2</v>
      </c>
      <c r="AF135" s="92">
        <v>5.3452720119386787E-2</v>
      </c>
      <c r="AG135" s="92">
        <v>1.5850144092219021E-2</v>
      </c>
      <c r="AH135" s="92">
        <v>0</v>
      </c>
      <c r="AI135" s="92">
        <v>0</v>
      </c>
      <c r="AJ135" s="92">
        <v>6.0260384376937384E-2</v>
      </c>
      <c r="AK135">
        <v>0</v>
      </c>
      <c r="AL135">
        <v>0</v>
      </c>
      <c r="AM135">
        <v>0</v>
      </c>
      <c r="AN135">
        <v>0</v>
      </c>
      <c r="AO135">
        <v>0</v>
      </c>
      <c r="AP135">
        <v>0</v>
      </c>
      <c r="AQ135">
        <v>0</v>
      </c>
      <c r="AR135">
        <v>0</v>
      </c>
      <c r="AS135">
        <v>0</v>
      </c>
      <c r="AT135">
        <v>0</v>
      </c>
      <c r="AU135">
        <v>0</v>
      </c>
      <c r="AV135">
        <v>0</v>
      </c>
      <c r="AW135">
        <v>0</v>
      </c>
      <c r="AX135">
        <v>0</v>
      </c>
      <c r="AY135">
        <v>0</v>
      </c>
      <c r="AZ135">
        <v>0</v>
      </c>
      <c r="BA135">
        <v>0</v>
      </c>
      <c r="BB135">
        <v>0</v>
      </c>
      <c r="BC135">
        <v>0</v>
      </c>
      <c r="BD135">
        <v>0</v>
      </c>
      <c r="BE135" s="92">
        <v>0</v>
      </c>
      <c r="BF135" s="92">
        <v>0</v>
      </c>
      <c r="BG135" s="92">
        <v>0</v>
      </c>
      <c r="BH135" s="92">
        <v>0</v>
      </c>
      <c r="BI135" s="92">
        <v>0</v>
      </c>
      <c r="BJ135" s="92">
        <v>0</v>
      </c>
      <c r="BK135" s="92">
        <v>0</v>
      </c>
      <c r="BL135" s="92">
        <v>0</v>
      </c>
      <c r="BM135" s="92">
        <v>0</v>
      </c>
      <c r="BN135" s="92">
        <v>0</v>
      </c>
      <c r="BO135" s="92">
        <v>0</v>
      </c>
      <c r="BP135" s="92">
        <v>0</v>
      </c>
      <c r="BQ135" s="92">
        <v>0</v>
      </c>
      <c r="BR135" s="92">
        <v>0</v>
      </c>
      <c r="BS135" s="92">
        <v>0</v>
      </c>
      <c r="BT135" s="92">
        <v>0</v>
      </c>
      <c r="BU135" s="92">
        <v>0</v>
      </c>
      <c r="BV135" s="92">
        <v>0</v>
      </c>
      <c r="BW135" s="92">
        <v>0</v>
      </c>
      <c r="BX135" s="92">
        <v>0</v>
      </c>
      <c r="BY135" s="92" t="s">
        <v>317</v>
      </c>
    </row>
  </sheetData>
  <mergeCells count="11">
    <mergeCell ref="B5:C5"/>
    <mergeCell ref="B15:B16"/>
    <mergeCell ref="B17:B18"/>
    <mergeCell ref="L15:L16"/>
    <mergeCell ref="L17:L18"/>
    <mergeCell ref="D5:J5"/>
    <mergeCell ref="B7:Q7"/>
    <mergeCell ref="G15:G16"/>
    <mergeCell ref="G17:G18"/>
    <mergeCell ref="B20:E20"/>
    <mergeCell ref="L20:U20"/>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4CEE-88C0-4B21-B43A-215D86DD0F7D}">
  <sheetPr>
    <tabColor theme="9" tint="0.39997558519241921"/>
  </sheetPr>
  <dimension ref="C9:G20"/>
  <sheetViews>
    <sheetView showGridLines="0" topLeftCell="A4" workbookViewId="0">
      <selection activeCell="C18" sqref="C18:F20"/>
    </sheetView>
  </sheetViews>
  <sheetFormatPr defaultRowHeight="15" x14ac:dyDescent="0.25"/>
  <cols>
    <col min="3" max="3" width="15.5703125" customWidth="1"/>
    <col min="4" max="6" width="13" customWidth="1"/>
  </cols>
  <sheetData>
    <row r="9" spans="3:6" ht="15.75" x14ac:dyDescent="0.25">
      <c r="C9" s="37" t="s">
        <v>166</v>
      </c>
    </row>
    <row r="11" spans="3:6" ht="24.75" customHeight="1" x14ac:dyDescent="0.25">
      <c r="D11" s="39" t="s">
        <v>2</v>
      </c>
      <c r="E11" s="44" t="s">
        <v>1</v>
      </c>
      <c r="F11" s="44" t="s">
        <v>0</v>
      </c>
    </row>
    <row r="12" spans="3:6" ht="24.75" customHeight="1" x14ac:dyDescent="0.25">
      <c r="C12" s="233" t="s">
        <v>164</v>
      </c>
      <c r="D12" s="40">
        <f>'Fire Hazard Severity Zones'!G17</f>
        <v>15624</v>
      </c>
      <c r="E12" s="41">
        <v>0</v>
      </c>
      <c r="F12" s="41">
        <v>0</v>
      </c>
    </row>
    <row r="13" spans="3:6" ht="18" customHeight="1" x14ac:dyDescent="0.25">
      <c r="C13" s="234"/>
      <c r="D13" s="35">
        <f>'Fire Hazard Severity Zones'!P17</f>
        <v>0.23801109012247881</v>
      </c>
      <c r="E13" s="35">
        <v>0</v>
      </c>
      <c r="F13" s="35">
        <v>0</v>
      </c>
    </row>
    <row r="14" spans="3:6" ht="18" customHeight="1" x14ac:dyDescent="0.25">
      <c r="C14" s="234" t="s">
        <v>165</v>
      </c>
      <c r="D14" s="45">
        <f>'Fire Hazard Severity Zones'!H17</f>
        <v>1222</v>
      </c>
      <c r="E14" s="41" t="str">
        <f>'Fire Hazard Severity Zones'!C17</f>
        <v>N/A</v>
      </c>
      <c r="F14" s="41" t="str">
        <f>'Fire Hazard Severity Zones'!D17</f>
        <v>N/A</v>
      </c>
    </row>
    <row r="15" spans="3:6" ht="18" customHeight="1" thickBot="1" x14ac:dyDescent="0.3">
      <c r="C15" s="235"/>
      <c r="D15" s="36">
        <f>'Fire Hazard Severity Zones'!Q17</f>
        <v>6.0765788165091997E-2</v>
      </c>
      <c r="E15" s="36">
        <v>0</v>
      </c>
      <c r="F15" s="36">
        <v>0</v>
      </c>
    </row>
    <row r="16" spans="3:6" ht="11.25" customHeight="1" thickTop="1" x14ac:dyDescent="0.25">
      <c r="C16" s="38"/>
      <c r="D16" s="35"/>
      <c r="E16" s="35"/>
    </row>
    <row r="17" spans="3:7" ht="12.4" customHeight="1" x14ac:dyDescent="0.25">
      <c r="C17" s="43" t="s">
        <v>167</v>
      </c>
      <c r="D17" s="42"/>
      <c r="E17" s="42"/>
      <c r="F17" s="42"/>
      <c r="G17" s="42"/>
    </row>
    <row r="18" spans="3:7" ht="30.4" customHeight="1" x14ac:dyDescent="0.25">
      <c r="C18" s="242" t="s">
        <v>168</v>
      </c>
      <c r="D18" s="242"/>
      <c r="E18" s="242"/>
      <c r="F18" s="242"/>
      <c r="G18" s="42"/>
    </row>
    <row r="19" spans="3:7" ht="30.4" customHeight="1" x14ac:dyDescent="0.25">
      <c r="C19" s="242"/>
      <c r="D19" s="242"/>
      <c r="E19" s="242"/>
      <c r="F19" s="242"/>
      <c r="G19" s="42"/>
    </row>
    <row r="20" spans="3:7" ht="30.4" customHeight="1" x14ac:dyDescent="0.25">
      <c r="C20" s="242"/>
      <c r="D20" s="242"/>
      <c r="E20" s="242"/>
      <c r="F20" s="242"/>
      <c r="G20" s="42"/>
    </row>
  </sheetData>
  <mergeCells count="3">
    <mergeCell ref="C12:C13"/>
    <mergeCell ref="C14:C15"/>
    <mergeCell ref="C18:F20"/>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B6FB-2096-4CC5-A665-1EA9F8ECB883}">
  <sheetPr>
    <tabColor theme="9" tint="0.39997558519241921"/>
  </sheetPr>
  <dimension ref="C9:G20"/>
  <sheetViews>
    <sheetView showGridLines="0" topLeftCell="A5" workbookViewId="0">
      <selection activeCell="C17" sqref="C17"/>
    </sheetView>
  </sheetViews>
  <sheetFormatPr defaultRowHeight="15" x14ac:dyDescent="0.25"/>
  <cols>
    <col min="3" max="3" width="15.5703125" customWidth="1"/>
    <col min="4" max="6" width="13" customWidth="1"/>
  </cols>
  <sheetData>
    <row r="9" spans="3:6" ht="15.75" x14ac:dyDescent="0.25">
      <c r="C9" s="37" t="s">
        <v>169</v>
      </c>
    </row>
    <row r="11" spans="3:6" ht="33.75" customHeight="1" x14ac:dyDescent="0.25">
      <c r="D11" s="46" t="s">
        <v>121</v>
      </c>
      <c r="E11" s="47" t="s">
        <v>122</v>
      </c>
      <c r="F11" s="47" t="s">
        <v>170</v>
      </c>
    </row>
    <row r="12" spans="3:6" ht="24.75" customHeight="1" x14ac:dyDescent="0.25">
      <c r="C12" s="233" t="s">
        <v>164</v>
      </c>
      <c r="D12" s="40">
        <f>'FEMA Flood Zones'!C17</f>
        <v>207</v>
      </c>
      <c r="E12" s="41">
        <f>'FEMA Flood Zones'!E17</f>
        <v>2919</v>
      </c>
      <c r="F12" s="41">
        <f>'FEMA Flood Zones'!G17</f>
        <v>1</v>
      </c>
    </row>
    <row r="13" spans="3:6" ht="18" customHeight="1" x14ac:dyDescent="0.25">
      <c r="C13" s="234"/>
      <c r="D13" s="35">
        <f>'FEMA Flood Zones'!L17</f>
        <v>3.1533727377978187E-3</v>
      </c>
      <c r="E13" s="35">
        <f>'FEMA Flood Zones'!N17</f>
        <v>4.4467125708366341E-2</v>
      </c>
      <c r="F13" s="35">
        <v>0</v>
      </c>
    </row>
    <row r="14" spans="3:6" ht="18" customHeight="1" x14ac:dyDescent="0.25">
      <c r="C14" s="234" t="s">
        <v>165</v>
      </c>
      <c r="D14" s="45">
        <f>'FEMA Flood Zones'!D17</f>
        <v>83</v>
      </c>
      <c r="E14" s="41">
        <f>'FEMA Flood Zones'!F17</f>
        <v>1225</v>
      </c>
      <c r="F14" s="41" t="str">
        <f>'Fire Hazard Severity Zones'!D17</f>
        <v>N/A</v>
      </c>
    </row>
    <row r="15" spans="3:6" ht="18" customHeight="1" thickBot="1" x14ac:dyDescent="0.3">
      <c r="C15" s="235"/>
      <c r="D15" s="36">
        <f>'FEMA Flood Zones'!M17</f>
        <v>4.1272998508204871E-3</v>
      </c>
      <c r="E15" s="36">
        <f>'FEMA Flood Zones'!O17</f>
        <v>6.0914967677772255E-2</v>
      </c>
      <c r="F15" s="36">
        <v>0</v>
      </c>
    </row>
    <row r="16" spans="3:6" ht="11.25" customHeight="1" thickTop="1" x14ac:dyDescent="0.25">
      <c r="C16" s="38"/>
      <c r="D16" s="35"/>
      <c r="E16" s="35"/>
    </row>
    <row r="17" spans="3:7" ht="12.4" customHeight="1" x14ac:dyDescent="0.25">
      <c r="C17" s="43" t="s">
        <v>171</v>
      </c>
      <c r="D17" s="42"/>
      <c r="E17" s="42"/>
      <c r="F17" s="42"/>
      <c r="G17" s="42"/>
    </row>
    <row r="18" spans="3:7" ht="30.4" customHeight="1" x14ac:dyDescent="0.25">
      <c r="C18" s="242" t="s">
        <v>168</v>
      </c>
      <c r="D18" s="242"/>
      <c r="E18" s="242"/>
      <c r="F18" s="242"/>
      <c r="G18" s="42"/>
    </row>
    <row r="19" spans="3:7" ht="30.4" customHeight="1" x14ac:dyDescent="0.25">
      <c r="C19" s="242"/>
      <c r="D19" s="242"/>
      <c r="E19" s="242"/>
      <c r="F19" s="242"/>
      <c r="G19" s="42"/>
    </row>
    <row r="20" spans="3:7" ht="30.4" customHeight="1" x14ac:dyDescent="0.25">
      <c r="C20" s="242"/>
      <c r="D20" s="242"/>
      <c r="E20" s="242"/>
      <c r="F20" s="242"/>
      <c r="G20" s="42"/>
    </row>
  </sheetData>
  <mergeCells count="3">
    <mergeCell ref="C12:C13"/>
    <mergeCell ref="C14:C15"/>
    <mergeCell ref="C18:F20"/>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A5CE-215C-4C6C-BEE9-1DC8D5CF1A1A}">
  <sheetPr>
    <tabColor theme="9" tint="0.39997558519241921"/>
  </sheetPr>
  <dimension ref="C9:M21"/>
  <sheetViews>
    <sheetView showGridLines="0" topLeftCell="A5" workbookViewId="0">
      <selection activeCell="C18" sqref="C18:I18"/>
    </sheetView>
  </sheetViews>
  <sheetFormatPr defaultRowHeight="15" x14ac:dyDescent="0.25"/>
  <cols>
    <col min="3" max="3" width="15.5703125" customWidth="1"/>
    <col min="4" max="13" width="10.140625" customWidth="1"/>
  </cols>
  <sheetData>
    <row r="9" spans="3:13" ht="15.75" x14ac:dyDescent="0.25">
      <c r="C9" s="37" t="s">
        <v>172</v>
      </c>
    </row>
    <row r="11" spans="3:13" ht="33.75" customHeight="1" x14ac:dyDescent="0.25">
      <c r="D11" s="46" t="s">
        <v>153</v>
      </c>
      <c r="E11" s="47" t="s">
        <v>154</v>
      </c>
      <c r="F11" s="47" t="s">
        <v>155</v>
      </c>
      <c r="G11" s="48" t="s">
        <v>156</v>
      </c>
      <c r="H11" s="48" t="s">
        <v>198</v>
      </c>
      <c r="I11" s="48" t="s">
        <v>199</v>
      </c>
      <c r="J11" s="48" t="s">
        <v>200</v>
      </c>
      <c r="K11" s="48" t="s">
        <v>160</v>
      </c>
      <c r="L11" s="48" t="s">
        <v>161</v>
      </c>
      <c r="M11" s="48" t="s">
        <v>162</v>
      </c>
    </row>
    <row r="12" spans="3:13" ht="24.75" customHeight="1" x14ac:dyDescent="0.25">
      <c r="C12" s="233" t="s">
        <v>164</v>
      </c>
      <c r="D12" s="40">
        <f>'Sea Level Rise'!C19</f>
        <v>4</v>
      </c>
      <c r="E12" s="41">
        <f>'Sea Level Rise'!E19</f>
        <v>4</v>
      </c>
      <c r="F12" s="41">
        <f>'Sea Level Rise'!G19</f>
        <v>9</v>
      </c>
      <c r="G12" s="40">
        <f>'Sea Level Rise'!I19</f>
        <v>81</v>
      </c>
      <c r="H12" s="40">
        <f>'Sea Level Rise'!K19</f>
        <v>464</v>
      </c>
      <c r="I12" s="40">
        <f>'Sea Level Rise'!M19</f>
        <v>755</v>
      </c>
      <c r="J12" s="40">
        <f>'Sea Level Rise'!O19</f>
        <v>887</v>
      </c>
      <c r="K12" s="40">
        <f>'Sea Level Rise'!Q19</f>
        <v>1125</v>
      </c>
      <c r="L12" s="40">
        <f>'Sea Level Rise'!S19</f>
        <v>1386</v>
      </c>
      <c r="M12" s="40" t="s">
        <v>131</v>
      </c>
    </row>
    <row r="13" spans="3:13" ht="18" customHeight="1" x14ac:dyDescent="0.25">
      <c r="C13" s="234"/>
      <c r="D13" s="35">
        <f>D12/'FEMA Flood Zones'!$J$17</f>
        <v>6.0934738894643838E-5</v>
      </c>
      <c r="E13" s="35">
        <f>E12/'FEMA Flood Zones'!$J$17</f>
        <v>6.0934738894643838E-5</v>
      </c>
      <c r="F13" s="35">
        <f>F12/'FEMA Flood Zones'!$J$17</f>
        <v>1.3710316251294862E-4</v>
      </c>
      <c r="G13" s="35">
        <f>G12/'FEMA Flood Zones'!$J$17</f>
        <v>1.2339284626165378E-3</v>
      </c>
      <c r="H13" s="35">
        <v>0.01</v>
      </c>
      <c r="I13" s="35">
        <v>0.01</v>
      </c>
      <c r="J13" s="35">
        <v>0.01</v>
      </c>
      <c r="K13" s="35">
        <f>K12/'FEMA Flood Zones'!$J$17</f>
        <v>1.7137895314118579E-2</v>
      </c>
      <c r="L13" s="35">
        <f>L12/'FEMA Flood Zones'!$J$17</f>
        <v>2.1113887026994089E-2</v>
      </c>
      <c r="M13" s="35" t="e">
        <f>M12/'FEMA Flood Zones'!$J$17</f>
        <v>#VALUE!</v>
      </c>
    </row>
    <row r="14" spans="3:13" ht="18" customHeight="1" x14ac:dyDescent="0.25">
      <c r="C14" s="234" t="s">
        <v>165</v>
      </c>
      <c r="D14" s="45">
        <f>'Sea Level Rise'!D19</f>
        <v>0</v>
      </c>
      <c r="E14" s="41">
        <f>'Sea Level Rise'!F19</f>
        <v>1</v>
      </c>
      <c r="F14" s="41">
        <f>'Sea Level Rise'!H19</f>
        <v>1</v>
      </c>
      <c r="G14" s="41">
        <f>'Sea Level Rise'!J19</f>
        <v>7</v>
      </c>
      <c r="H14" s="41">
        <f>'Sea Level Rise'!L19</f>
        <v>152</v>
      </c>
      <c r="I14" s="41">
        <f>'Sea Level Rise'!N19</f>
        <v>271</v>
      </c>
      <c r="J14" s="41">
        <f>'Sea Level Rise'!P19</f>
        <v>330</v>
      </c>
      <c r="K14" s="41">
        <f>'Sea Level Rise'!R19</f>
        <v>456</v>
      </c>
      <c r="L14" s="41">
        <f>'Sea Level Rise'!T19</f>
        <v>586</v>
      </c>
      <c r="M14" s="45" t="s">
        <v>131</v>
      </c>
    </row>
    <row r="15" spans="3:13" ht="18" customHeight="1" thickBot="1" x14ac:dyDescent="0.3">
      <c r="C15" s="235"/>
      <c r="D15" s="36">
        <f>D14/'FEMA Flood Zones'!$K$17</f>
        <v>0</v>
      </c>
      <c r="E15" s="36">
        <f>E14/'FEMA Flood Zones'!$K$17</f>
        <v>4.9726504226752858E-5</v>
      </c>
      <c r="F15" s="36">
        <f>F14/'FEMA Flood Zones'!$K$17</f>
        <v>4.9726504226752858E-5</v>
      </c>
      <c r="G15" s="36">
        <f>G14/'FEMA Flood Zones'!$K$17</f>
        <v>3.4808552958727002E-4</v>
      </c>
      <c r="H15" s="36">
        <v>0.03</v>
      </c>
      <c r="I15" s="36">
        <v>0.03</v>
      </c>
      <c r="J15" s="36">
        <v>0.03</v>
      </c>
      <c r="K15" s="36">
        <f>K14/'FEMA Flood Zones'!$K$17</f>
        <v>2.2675285927399303E-2</v>
      </c>
      <c r="L15" s="36">
        <f>L14/'FEMA Flood Zones'!$K$17</f>
        <v>2.9139731476877175E-2</v>
      </c>
      <c r="M15" s="36" t="e">
        <f>M14/'FEMA Flood Zones'!$K$17</f>
        <v>#VALUE!</v>
      </c>
    </row>
    <row r="16" spans="3:13" ht="11.25" customHeight="1" thickTop="1" x14ac:dyDescent="0.25">
      <c r="C16" s="38"/>
      <c r="D16" s="35"/>
      <c r="E16" s="35"/>
    </row>
    <row r="17" spans="3:9" ht="11.25" customHeight="1" x14ac:dyDescent="0.25">
      <c r="C17" s="43" t="s">
        <v>173</v>
      </c>
      <c r="D17" s="35"/>
      <c r="E17" s="35"/>
    </row>
    <row r="18" spans="3:9" ht="37.5" customHeight="1" x14ac:dyDescent="0.25">
      <c r="C18" s="243" t="s">
        <v>201</v>
      </c>
      <c r="D18" s="243"/>
      <c r="E18" s="243"/>
      <c r="F18" s="243"/>
      <c r="G18" s="243"/>
      <c r="H18" s="243"/>
      <c r="I18" s="243"/>
    </row>
    <row r="19" spans="3:9" ht="30.4" customHeight="1" x14ac:dyDescent="0.25">
      <c r="C19" s="242" t="s">
        <v>168</v>
      </c>
      <c r="D19" s="242"/>
      <c r="E19" s="242"/>
      <c r="F19" s="242"/>
      <c r="G19" s="242"/>
      <c r="H19" s="242"/>
      <c r="I19" s="242"/>
    </row>
    <row r="20" spans="3:9" ht="30.4" customHeight="1" x14ac:dyDescent="0.25">
      <c r="C20" s="242"/>
      <c r="D20" s="242"/>
      <c r="E20" s="242"/>
      <c r="F20" s="242"/>
      <c r="G20" s="242"/>
      <c r="H20" s="242"/>
      <c r="I20" s="242"/>
    </row>
    <row r="21" spans="3:9" ht="4.1500000000000004" customHeight="1" x14ac:dyDescent="0.25">
      <c r="C21" s="242"/>
      <c r="D21" s="242"/>
      <c r="E21" s="242"/>
      <c r="F21" s="242"/>
      <c r="G21" s="242"/>
      <c r="H21" s="242"/>
      <c r="I21" s="242"/>
    </row>
  </sheetData>
  <mergeCells count="4">
    <mergeCell ref="C12:C13"/>
    <mergeCell ref="C14:C15"/>
    <mergeCell ref="C18:I18"/>
    <mergeCell ref="C19:I2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D9CC-6F48-4425-A6B7-0A61BEA1FC65}">
  <sheetPr>
    <tabColor theme="9" tint="0.79998168889431442"/>
  </sheetPr>
  <dimension ref="A1:K19"/>
  <sheetViews>
    <sheetView workbookViewId="0">
      <selection activeCell="N4" sqref="N4"/>
    </sheetView>
  </sheetViews>
  <sheetFormatPr defaultRowHeight="15" x14ac:dyDescent="0.25"/>
  <cols>
    <col min="1" max="1" width="28.85546875" customWidth="1"/>
  </cols>
  <sheetData>
    <row r="1" spans="1:11" ht="23.25" x14ac:dyDescent="0.35">
      <c r="A1" s="121" t="s">
        <v>336</v>
      </c>
    </row>
    <row r="3" spans="1:11" ht="15.75" x14ac:dyDescent="0.25">
      <c r="A3" s="209" t="s">
        <v>337</v>
      </c>
      <c r="B3" s="203"/>
      <c r="C3" s="203"/>
      <c r="D3" s="203"/>
      <c r="E3" s="203"/>
      <c r="F3" s="203"/>
      <c r="G3" s="203"/>
      <c r="H3" s="203"/>
      <c r="I3" s="203"/>
      <c r="J3" s="203"/>
      <c r="K3" s="203"/>
    </row>
    <row r="4" spans="1:11" ht="110.25" customHeight="1" x14ac:dyDescent="0.25">
      <c r="A4" s="205" t="s">
        <v>353</v>
      </c>
      <c r="B4" s="244" t="s">
        <v>349</v>
      </c>
      <c r="C4" s="244"/>
      <c r="D4" s="244"/>
      <c r="E4" s="244"/>
      <c r="F4" s="244"/>
      <c r="G4" s="244"/>
      <c r="H4" s="244"/>
      <c r="I4" s="244"/>
      <c r="J4" s="244"/>
      <c r="K4" s="244"/>
    </row>
    <row r="5" spans="1:11" s="2" customFormat="1" ht="15.75" customHeight="1" x14ac:dyDescent="0.25">
      <c r="A5" s="207"/>
      <c r="B5" s="208"/>
      <c r="C5" s="208"/>
      <c r="D5" s="208"/>
      <c r="E5" s="208"/>
      <c r="F5" s="208"/>
      <c r="G5" s="208"/>
      <c r="H5" s="208"/>
      <c r="I5" s="208"/>
      <c r="J5" s="208"/>
      <c r="K5" s="208"/>
    </row>
    <row r="6" spans="1:11" ht="15" customHeight="1" x14ac:dyDescent="0.25">
      <c r="A6" s="188" t="s">
        <v>351</v>
      </c>
      <c r="B6" s="186" t="s">
        <v>348</v>
      </c>
      <c r="C6" s="185"/>
      <c r="D6" s="185"/>
      <c r="E6" s="185"/>
      <c r="F6" s="185"/>
      <c r="G6" s="185"/>
      <c r="H6" s="185"/>
      <c r="I6" s="185"/>
      <c r="J6" s="185"/>
      <c r="K6" s="185"/>
    </row>
    <row r="8" spans="1:11" ht="15.75" x14ac:dyDescent="0.25">
      <c r="A8" s="209" t="s">
        <v>267</v>
      </c>
      <c r="B8" s="203"/>
      <c r="C8" s="203"/>
      <c r="D8" s="203"/>
      <c r="E8" s="203"/>
      <c r="F8" s="203"/>
      <c r="G8" s="203"/>
      <c r="H8" s="203"/>
      <c r="I8" s="203"/>
      <c r="J8" s="203"/>
      <c r="K8" s="203"/>
    </row>
    <row r="9" spans="1:11" ht="31.5" customHeight="1" x14ac:dyDescent="0.25">
      <c r="A9" s="204" t="s">
        <v>340</v>
      </c>
      <c r="B9" s="244" t="s">
        <v>355</v>
      </c>
      <c r="C9" s="244"/>
      <c r="D9" s="244"/>
      <c r="E9" s="244"/>
      <c r="F9" s="244"/>
      <c r="G9" s="244"/>
      <c r="H9" s="244"/>
      <c r="I9" s="244"/>
      <c r="J9" s="244"/>
      <c r="K9" s="244"/>
    </row>
    <row r="10" spans="1:11" ht="31.5" customHeight="1" x14ac:dyDescent="0.25">
      <c r="A10" s="204" t="s">
        <v>341</v>
      </c>
      <c r="B10" s="244" t="s">
        <v>354</v>
      </c>
      <c r="C10" s="244"/>
      <c r="D10" s="244"/>
      <c r="E10" s="244"/>
      <c r="F10" s="244"/>
      <c r="G10" s="244"/>
      <c r="H10" s="244"/>
      <c r="I10" s="244"/>
      <c r="J10" s="244"/>
      <c r="K10" s="244"/>
    </row>
    <row r="11" spans="1:11" ht="40.5" customHeight="1" x14ac:dyDescent="0.25">
      <c r="A11" s="204" t="s">
        <v>170</v>
      </c>
      <c r="B11" s="245" t="s">
        <v>356</v>
      </c>
      <c r="C11" s="245"/>
      <c r="D11" s="245"/>
      <c r="E11" s="245"/>
      <c r="F11" s="245"/>
      <c r="G11" s="245"/>
      <c r="H11" s="245"/>
      <c r="I11" s="245"/>
      <c r="J11" s="245"/>
      <c r="K11" s="245"/>
    </row>
    <row r="12" spans="1:11" x14ac:dyDescent="0.25">
      <c r="A12" s="188"/>
      <c r="B12" s="186"/>
    </row>
    <row r="13" spans="1:11" x14ac:dyDescent="0.25">
      <c r="A13" s="188" t="s">
        <v>351</v>
      </c>
      <c r="B13" s="186" t="s">
        <v>338</v>
      </c>
    </row>
    <row r="14" spans="1:11" x14ac:dyDescent="0.25">
      <c r="A14" s="188"/>
      <c r="B14" s="186"/>
    </row>
    <row r="15" spans="1:11" ht="15.75" x14ac:dyDescent="0.25">
      <c r="A15" s="209" t="s">
        <v>266</v>
      </c>
      <c r="B15" s="203"/>
      <c r="C15" s="203"/>
      <c r="D15" s="203"/>
      <c r="E15" s="203"/>
      <c r="F15" s="203"/>
      <c r="G15" s="203"/>
      <c r="H15" s="203"/>
      <c r="I15" s="203"/>
      <c r="J15" s="203"/>
      <c r="K15" s="203"/>
    </row>
    <row r="16" spans="1:11" ht="68.25" customHeight="1" x14ac:dyDescent="0.25">
      <c r="A16" s="206" t="s">
        <v>346</v>
      </c>
      <c r="B16" s="244" t="s">
        <v>352</v>
      </c>
      <c r="C16" s="244"/>
      <c r="D16" s="244"/>
      <c r="E16" s="244"/>
      <c r="F16" s="244"/>
      <c r="G16" s="244"/>
      <c r="H16" s="244"/>
      <c r="I16" s="244"/>
      <c r="J16" s="244"/>
      <c r="K16" s="244"/>
    </row>
    <row r="17" spans="1:2" x14ac:dyDescent="0.25">
      <c r="B17" s="202" t="s">
        <v>350</v>
      </c>
    </row>
    <row r="19" spans="1:2" x14ac:dyDescent="0.25">
      <c r="A19" s="188" t="s">
        <v>351</v>
      </c>
      <c r="B19" s="186" t="s">
        <v>339</v>
      </c>
    </row>
  </sheetData>
  <mergeCells count="5">
    <mergeCell ref="B4:K4"/>
    <mergeCell ref="B16:K16"/>
    <mergeCell ref="B9:K9"/>
    <mergeCell ref="B10:K10"/>
    <mergeCell ref="B11:K11"/>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1601-DCD0-4CFD-B377-CAB64FF41B9D}">
  <sheetPr>
    <tabColor theme="4" tint="0.79998168889431442"/>
  </sheetPr>
  <dimension ref="A1:AP166"/>
  <sheetViews>
    <sheetView showGridLines="0" zoomScale="80" zoomScaleNormal="80" workbookViewId="0">
      <pane ySplit="7" topLeftCell="A8" activePane="bottomLeft" state="frozen"/>
      <selection pane="bottomLeft" activeCell="B15" sqref="B15"/>
    </sheetView>
  </sheetViews>
  <sheetFormatPr defaultColWidth="9" defaultRowHeight="15" x14ac:dyDescent="0.25"/>
  <cols>
    <col min="1" max="1" width="12.85546875" style="2" customWidth="1"/>
    <col min="2" max="2" width="28.85546875" style="2" customWidth="1"/>
    <col min="3" max="8" width="9" style="2" customWidth="1"/>
    <col min="9" max="9" width="14" style="4" customWidth="1"/>
    <col min="10" max="10" width="9.85546875" style="4" customWidth="1"/>
    <col min="11" max="11" width="10.42578125" style="2" customWidth="1"/>
    <col min="12" max="12" width="9" style="4" customWidth="1"/>
    <col min="13" max="17" width="9" style="2" customWidth="1"/>
    <col min="18" max="18" width="15.28515625" style="115" customWidth="1"/>
    <col min="19" max="20" width="9" style="2" customWidth="1"/>
    <col min="21" max="16384" width="9" style="2"/>
  </cols>
  <sheetData>
    <row r="1" spans="1:42" ht="23.25" x14ac:dyDescent="0.35">
      <c r="A1" s="121" t="s">
        <v>268</v>
      </c>
      <c r="H1" s="13"/>
      <c r="I1" s="13"/>
      <c r="J1" s="13"/>
      <c r="K1" s="13"/>
      <c r="L1" s="13"/>
      <c r="M1" s="13"/>
      <c r="N1" s="13"/>
      <c r="O1" s="13"/>
      <c r="P1" s="13"/>
      <c r="Q1" s="13"/>
      <c r="R1" s="13"/>
      <c r="S1" s="13"/>
    </row>
    <row r="2" spans="1:42" ht="62.25" customHeight="1" x14ac:dyDescent="0.25">
      <c r="A2" s="248" t="s">
        <v>314</v>
      </c>
      <c r="B2" s="248"/>
      <c r="C2" s="248"/>
      <c r="D2" s="248"/>
      <c r="E2" s="248"/>
      <c r="F2" s="248"/>
      <c r="G2" s="248"/>
      <c r="H2" s="248"/>
      <c r="I2" s="248"/>
      <c r="J2" s="248"/>
      <c r="K2" s="13"/>
      <c r="L2" s="13"/>
      <c r="M2" s="13"/>
      <c r="N2" s="13"/>
      <c r="O2" s="13"/>
      <c r="P2" s="13"/>
      <c r="Q2" s="13"/>
      <c r="R2" s="13"/>
      <c r="S2" s="13"/>
    </row>
    <row r="3" spans="1:42" ht="73.5" customHeight="1" x14ac:dyDescent="0.25">
      <c r="A3" s="248" t="s">
        <v>343</v>
      </c>
      <c r="B3" s="248"/>
      <c r="C3" s="248"/>
      <c r="D3" s="248"/>
      <c r="E3" s="248"/>
      <c r="F3" s="248"/>
      <c r="G3" s="248"/>
      <c r="H3" s="248"/>
      <c r="I3" s="248"/>
      <c r="J3" s="248"/>
      <c r="K3" s="13"/>
      <c r="L3" s="13"/>
      <c r="M3" s="13"/>
      <c r="N3" s="13"/>
      <c r="O3" s="13"/>
      <c r="P3" s="13"/>
      <c r="Q3" s="13"/>
      <c r="R3" s="13"/>
      <c r="S3" s="13"/>
    </row>
    <row r="4" spans="1:42" ht="23.25" x14ac:dyDescent="0.35">
      <c r="A4" s="121"/>
      <c r="H4" s="13"/>
      <c r="I4" s="13"/>
      <c r="J4" s="13"/>
      <c r="K4" s="13"/>
      <c r="L4" s="13"/>
      <c r="M4" s="13"/>
      <c r="N4" s="13"/>
      <c r="O4" s="13"/>
      <c r="P4" s="13"/>
      <c r="Q4" s="13"/>
      <c r="R4" s="13"/>
      <c r="S4" s="13"/>
    </row>
    <row r="5" spans="1:42" ht="18.75" x14ac:dyDescent="0.3">
      <c r="C5" s="249" t="s">
        <v>291</v>
      </c>
      <c r="D5" s="250"/>
      <c r="E5" s="250"/>
      <c r="F5" s="250"/>
      <c r="G5" s="250"/>
      <c r="H5" s="250"/>
      <c r="I5" s="251"/>
      <c r="J5" s="13"/>
      <c r="K5" s="13"/>
      <c r="L5" s="249" t="s">
        <v>290</v>
      </c>
      <c r="M5" s="250"/>
      <c r="N5" s="250"/>
      <c r="O5" s="250"/>
      <c r="P5" s="250"/>
      <c r="Q5" s="250"/>
      <c r="R5" s="251"/>
      <c r="S5" s="249" t="s">
        <v>294</v>
      </c>
      <c r="T5" s="251"/>
    </row>
    <row r="6" spans="1:42" ht="30" customHeight="1" x14ac:dyDescent="0.25">
      <c r="A6" s="5"/>
      <c r="B6" s="5"/>
      <c r="C6" s="252" t="s">
        <v>0</v>
      </c>
      <c r="D6" s="253"/>
      <c r="E6" s="252" t="s">
        <v>1</v>
      </c>
      <c r="F6" s="253"/>
      <c r="G6" s="256" t="s">
        <v>292</v>
      </c>
      <c r="H6" s="257"/>
      <c r="I6" s="258"/>
      <c r="J6" s="254" t="s">
        <v>289</v>
      </c>
      <c r="K6" s="255"/>
      <c r="L6" s="247" t="s">
        <v>4</v>
      </c>
      <c r="M6" s="247"/>
      <c r="N6" s="247" t="s">
        <v>5</v>
      </c>
      <c r="O6" s="247"/>
      <c r="P6" s="247" t="s">
        <v>6</v>
      </c>
      <c r="Q6" s="247"/>
      <c r="R6" s="132" t="s">
        <v>7</v>
      </c>
      <c r="S6" s="246" t="s">
        <v>8</v>
      </c>
      <c r="T6" s="246" t="s">
        <v>9</v>
      </c>
    </row>
    <row r="7" spans="1:42" s="1" customFormat="1" ht="30.75" customHeight="1" x14ac:dyDescent="0.25">
      <c r="A7" s="131" t="s">
        <v>10</v>
      </c>
      <c r="B7" s="131" t="s">
        <v>11</v>
      </c>
      <c r="C7" s="126" t="s">
        <v>12</v>
      </c>
      <c r="D7" s="127" t="s">
        <v>13</v>
      </c>
      <c r="E7" s="128" t="s">
        <v>12</v>
      </c>
      <c r="F7" s="128" t="s">
        <v>13</v>
      </c>
      <c r="G7" s="128" t="s">
        <v>12</v>
      </c>
      <c r="H7" s="128" t="s">
        <v>13</v>
      </c>
      <c r="I7" s="129" t="s">
        <v>293</v>
      </c>
      <c r="J7" s="135" t="s">
        <v>12</v>
      </c>
      <c r="K7" s="169" t="s">
        <v>13</v>
      </c>
      <c r="L7" s="161" t="s">
        <v>12</v>
      </c>
      <c r="M7" s="161" t="s">
        <v>13</v>
      </c>
      <c r="N7" s="133" t="s">
        <v>12</v>
      </c>
      <c r="O7" s="133" t="s">
        <v>13</v>
      </c>
      <c r="P7" s="133" t="s">
        <v>12</v>
      </c>
      <c r="Q7" s="133" t="s">
        <v>13</v>
      </c>
      <c r="R7" s="134" t="s">
        <v>14</v>
      </c>
      <c r="S7" s="246"/>
      <c r="T7" s="246"/>
      <c r="U7" s="136"/>
      <c r="V7" s="136"/>
      <c r="W7" s="136"/>
      <c r="X7" s="136"/>
      <c r="Y7" s="136"/>
      <c r="Z7" s="136"/>
      <c r="AA7" s="136"/>
      <c r="AB7" s="136"/>
      <c r="AC7" s="136"/>
      <c r="AD7" s="136"/>
      <c r="AE7" s="136"/>
      <c r="AF7" s="136"/>
      <c r="AG7" s="136"/>
      <c r="AH7" s="136"/>
      <c r="AI7" s="136"/>
      <c r="AJ7" s="136"/>
      <c r="AK7" s="136"/>
      <c r="AL7" s="136"/>
      <c r="AM7" s="136"/>
      <c r="AN7" s="136"/>
      <c r="AO7" s="136"/>
      <c r="AP7" s="136"/>
    </row>
    <row r="8" spans="1:42" s="1" customFormat="1" x14ac:dyDescent="0.25">
      <c r="A8" s="3" t="s">
        <v>16</v>
      </c>
      <c r="B8" s="3" t="s">
        <v>16</v>
      </c>
      <c r="C8" s="146" t="s">
        <v>311</v>
      </c>
      <c r="D8" s="146" t="s">
        <v>311</v>
      </c>
      <c r="E8" s="146" t="s">
        <v>311</v>
      </c>
      <c r="F8" s="146" t="s">
        <v>311</v>
      </c>
      <c r="G8" s="146">
        <v>0</v>
      </c>
      <c r="H8" s="146">
        <v>0</v>
      </c>
      <c r="I8" s="147">
        <f>G8+H8</f>
        <v>0</v>
      </c>
      <c r="J8" s="22">
        <v>14144</v>
      </c>
      <c r="K8" s="11">
        <v>3329</v>
      </c>
      <c r="L8" s="147" t="s">
        <v>311</v>
      </c>
      <c r="M8" s="170" t="s">
        <v>311</v>
      </c>
      <c r="N8" s="146" t="s">
        <v>311</v>
      </c>
      <c r="O8" s="146" t="s">
        <v>311</v>
      </c>
      <c r="P8" s="31">
        <f>G8/$J8</f>
        <v>0</v>
      </c>
      <c r="Q8" s="31">
        <f>H8/$K8</f>
        <v>0</v>
      </c>
      <c r="R8" s="114">
        <f>I8/(J8+K8)</f>
        <v>0</v>
      </c>
      <c r="S8" s="1">
        <f>RANK(I8,$I$8:$I$116,0)</f>
        <v>46</v>
      </c>
      <c r="T8" s="137">
        <f>RANK(R8,$R$8:$R$116,0)</f>
        <v>46</v>
      </c>
      <c r="U8" s="136"/>
      <c r="V8" s="136"/>
      <c r="W8" s="136"/>
      <c r="X8" s="136"/>
      <c r="Y8" s="136"/>
      <c r="Z8" s="136"/>
      <c r="AA8" s="136"/>
      <c r="AB8" s="136"/>
      <c r="AC8" s="136"/>
      <c r="AD8" s="136"/>
      <c r="AE8" s="136"/>
      <c r="AF8" s="136"/>
      <c r="AG8" s="136"/>
      <c r="AH8" s="136"/>
      <c r="AI8" s="136"/>
      <c r="AJ8" s="136"/>
      <c r="AK8" s="136"/>
      <c r="AL8" s="136"/>
      <c r="AM8" s="136"/>
      <c r="AN8" s="136"/>
      <c r="AO8" s="136"/>
      <c r="AP8" s="136"/>
    </row>
    <row r="9" spans="1:42" x14ac:dyDescent="0.25">
      <c r="A9" s="2" t="s">
        <v>16</v>
      </c>
      <c r="B9" s="2" t="s">
        <v>17</v>
      </c>
      <c r="C9" s="146" t="s">
        <v>311</v>
      </c>
      <c r="D9" s="146" t="s">
        <v>311</v>
      </c>
      <c r="E9" s="146" t="s">
        <v>311</v>
      </c>
      <c r="F9" s="146" t="s">
        <v>311</v>
      </c>
      <c r="G9" s="146">
        <v>0</v>
      </c>
      <c r="H9" s="146">
        <v>0</v>
      </c>
      <c r="I9" s="147">
        <f t="shared" ref="I9:I72" si="0">G9+H9</f>
        <v>0</v>
      </c>
      <c r="J9" s="22">
        <v>3634</v>
      </c>
      <c r="K9" s="11">
        <v>480</v>
      </c>
      <c r="L9" s="147" t="s">
        <v>311</v>
      </c>
      <c r="M9" s="170" t="s">
        <v>311</v>
      </c>
      <c r="N9" s="146" t="s">
        <v>311</v>
      </c>
      <c r="O9" s="146" t="s">
        <v>311</v>
      </c>
      <c r="P9" s="31">
        <f t="shared" ref="P9:P72" si="1">G9/$J9</f>
        <v>0</v>
      </c>
      <c r="Q9" s="31">
        <f t="shared" ref="Q9:Q72" si="2">H9/$K9</f>
        <v>0</v>
      </c>
      <c r="R9" s="114">
        <f t="shared" ref="R9:R72" si="3">I9/(J9+K9)</f>
        <v>0</v>
      </c>
      <c r="S9" s="1">
        <f t="shared" ref="S9:S72" si="4">RANK(I9,$I$8:$I$116,0)</f>
        <v>46</v>
      </c>
      <c r="T9" s="137">
        <f t="shared" ref="T9:T72" si="5">RANK(R9,$R$8:$R$116,0)</f>
        <v>46</v>
      </c>
      <c r="U9" s="13"/>
      <c r="V9" s="13"/>
      <c r="W9" s="13"/>
      <c r="X9" s="13"/>
      <c r="Y9" s="13"/>
      <c r="Z9" s="13"/>
      <c r="AA9" s="13"/>
      <c r="AB9" s="13"/>
      <c r="AC9" s="13"/>
      <c r="AD9" s="13"/>
      <c r="AE9" s="13"/>
      <c r="AF9" s="13"/>
      <c r="AG9" s="13"/>
      <c r="AH9" s="13"/>
      <c r="AI9" s="13"/>
      <c r="AJ9" s="13"/>
      <c r="AK9" s="13"/>
      <c r="AL9" s="13"/>
      <c r="AM9" s="13"/>
      <c r="AN9" s="13"/>
      <c r="AO9" s="13"/>
      <c r="AP9" s="13"/>
    </row>
    <row r="10" spans="1:42" x14ac:dyDescent="0.25">
      <c r="A10" s="2" t="s">
        <v>16</v>
      </c>
      <c r="B10" s="2" t="s">
        <v>18</v>
      </c>
      <c r="C10" s="146" t="s">
        <v>311</v>
      </c>
      <c r="D10" s="146" t="s">
        <v>311</v>
      </c>
      <c r="E10" s="146" t="s">
        <v>311</v>
      </c>
      <c r="F10" s="146" t="s">
        <v>311</v>
      </c>
      <c r="G10" s="146">
        <v>3123</v>
      </c>
      <c r="H10" s="146">
        <v>408</v>
      </c>
      <c r="I10" s="147">
        <f t="shared" si="0"/>
        <v>3531</v>
      </c>
      <c r="J10" s="22">
        <v>17041</v>
      </c>
      <c r="K10" s="12">
        <v>6517</v>
      </c>
      <c r="L10" s="147" t="s">
        <v>311</v>
      </c>
      <c r="M10" s="170" t="s">
        <v>311</v>
      </c>
      <c r="N10" s="146" t="s">
        <v>311</v>
      </c>
      <c r="O10" s="146" t="s">
        <v>311</v>
      </c>
      <c r="P10" s="31">
        <f t="shared" si="1"/>
        <v>0.18326389296402792</v>
      </c>
      <c r="Q10" s="31">
        <f t="shared" si="2"/>
        <v>6.2605493325149614E-2</v>
      </c>
      <c r="R10" s="114">
        <f t="shared" si="3"/>
        <v>0.14988538925205874</v>
      </c>
      <c r="S10" s="1">
        <f t="shared" si="4"/>
        <v>4</v>
      </c>
      <c r="T10" s="137">
        <f t="shared" si="5"/>
        <v>14</v>
      </c>
      <c r="U10" s="13"/>
      <c r="V10" s="13"/>
      <c r="W10" s="13"/>
      <c r="X10" s="13"/>
      <c r="Y10" s="13"/>
      <c r="Z10" s="13"/>
      <c r="AA10" s="13"/>
      <c r="AB10" s="13"/>
      <c r="AC10" s="13"/>
      <c r="AD10" s="13"/>
      <c r="AE10" s="13"/>
      <c r="AF10" s="13"/>
      <c r="AG10" s="13"/>
      <c r="AH10" s="13"/>
      <c r="AI10" s="13"/>
      <c r="AJ10" s="13"/>
      <c r="AK10" s="13"/>
      <c r="AL10" s="13"/>
      <c r="AM10" s="13"/>
      <c r="AN10" s="13"/>
      <c r="AO10" s="13"/>
      <c r="AP10" s="13"/>
    </row>
    <row r="11" spans="1:42" x14ac:dyDescent="0.25">
      <c r="A11" s="2" t="s">
        <v>16</v>
      </c>
      <c r="B11" s="2" t="s">
        <v>19</v>
      </c>
      <c r="C11" s="146">
        <v>2647</v>
      </c>
      <c r="D11" s="146">
        <v>34</v>
      </c>
      <c r="E11" s="146">
        <v>19</v>
      </c>
      <c r="F11" s="146">
        <v>0</v>
      </c>
      <c r="G11" s="146">
        <v>0</v>
      </c>
      <c r="H11" s="146">
        <v>0</v>
      </c>
      <c r="I11" s="147">
        <f t="shared" si="0"/>
        <v>0</v>
      </c>
      <c r="J11" s="22">
        <v>12947</v>
      </c>
      <c r="K11" s="12">
        <v>258</v>
      </c>
      <c r="L11" s="33">
        <f t="shared" ref="L11:L65" si="6">C11/$J11</f>
        <v>0.20444890708272187</v>
      </c>
      <c r="M11" s="171">
        <f t="shared" ref="M11:M65" si="7">D11/$K11</f>
        <v>0.13178294573643412</v>
      </c>
      <c r="N11" s="31">
        <f t="shared" ref="N11:N65" si="8">E11/$J11</f>
        <v>1.4675214335367268E-3</v>
      </c>
      <c r="O11" s="31">
        <f t="shared" ref="O11:O65" si="9">F11/$K11</f>
        <v>0</v>
      </c>
      <c r="P11" s="31">
        <f t="shared" si="1"/>
        <v>0</v>
      </c>
      <c r="Q11" s="31">
        <f t="shared" si="2"/>
        <v>0</v>
      </c>
      <c r="R11" s="114">
        <f t="shared" si="3"/>
        <v>0</v>
      </c>
      <c r="S11" s="1">
        <f t="shared" si="4"/>
        <v>46</v>
      </c>
      <c r="T11" s="137">
        <f t="shared" si="5"/>
        <v>46</v>
      </c>
      <c r="U11" s="13"/>
      <c r="V11" s="13"/>
      <c r="W11" s="13"/>
      <c r="X11" s="13"/>
      <c r="Y11" s="13"/>
      <c r="Z11" s="13"/>
      <c r="AA11" s="13"/>
      <c r="AB11" s="13"/>
      <c r="AC11" s="13"/>
      <c r="AD11" s="13"/>
      <c r="AE11" s="13"/>
      <c r="AF11" s="13"/>
      <c r="AG11" s="13"/>
      <c r="AH11" s="13"/>
      <c r="AI11" s="13"/>
      <c r="AJ11" s="13"/>
      <c r="AK11" s="13"/>
      <c r="AL11" s="13"/>
      <c r="AM11" s="13"/>
      <c r="AN11" s="13"/>
      <c r="AO11" s="13"/>
      <c r="AP11" s="13"/>
    </row>
    <row r="12" spans="1:42" x14ac:dyDescent="0.25">
      <c r="A12" s="2" t="s">
        <v>16</v>
      </c>
      <c r="B12" s="2" t="s">
        <v>20</v>
      </c>
      <c r="C12" s="146" t="s">
        <v>311</v>
      </c>
      <c r="D12" s="146" t="s">
        <v>311</v>
      </c>
      <c r="E12" s="146" t="s">
        <v>311</v>
      </c>
      <c r="F12" s="146" t="s">
        <v>311</v>
      </c>
      <c r="G12" s="146">
        <v>0</v>
      </c>
      <c r="H12" s="146">
        <v>0</v>
      </c>
      <c r="I12" s="147">
        <f t="shared" si="0"/>
        <v>0</v>
      </c>
      <c r="J12" s="22">
        <v>226</v>
      </c>
      <c r="K12" s="12">
        <v>315</v>
      </c>
      <c r="L12" s="147" t="s">
        <v>311</v>
      </c>
      <c r="M12" s="170" t="s">
        <v>311</v>
      </c>
      <c r="N12" s="146" t="s">
        <v>311</v>
      </c>
      <c r="O12" s="146" t="s">
        <v>311</v>
      </c>
      <c r="P12" s="31">
        <f t="shared" si="1"/>
        <v>0</v>
      </c>
      <c r="Q12" s="31">
        <f t="shared" si="2"/>
        <v>0</v>
      </c>
      <c r="R12" s="114">
        <f t="shared" si="3"/>
        <v>0</v>
      </c>
      <c r="S12" s="1">
        <f t="shared" si="4"/>
        <v>46</v>
      </c>
      <c r="T12" s="137">
        <f t="shared" si="5"/>
        <v>46</v>
      </c>
      <c r="U12" s="13"/>
      <c r="V12" s="13"/>
      <c r="W12" s="13"/>
      <c r="X12" s="13"/>
      <c r="Y12" s="13"/>
      <c r="Z12" s="13"/>
      <c r="AA12" s="13"/>
      <c r="AB12" s="13"/>
      <c r="AC12" s="13"/>
      <c r="AD12" s="13"/>
      <c r="AE12" s="13"/>
      <c r="AF12" s="13"/>
      <c r="AG12" s="13"/>
      <c r="AH12" s="13"/>
      <c r="AI12" s="13"/>
      <c r="AJ12" s="13"/>
      <c r="AK12" s="13"/>
      <c r="AL12" s="13"/>
      <c r="AM12" s="13"/>
      <c r="AN12" s="13"/>
      <c r="AO12" s="13"/>
      <c r="AP12" s="13"/>
    </row>
    <row r="13" spans="1:42" x14ac:dyDescent="0.25">
      <c r="A13" s="2" t="s">
        <v>16</v>
      </c>
      <c r="B13" s="2" t="s">
        <v>21</v>
      </c>
      <c r="C13" s="146">
        <v>3</v>
      </c>
      <c r="D13" s="146">
        <v>0</v>
      </c>
      <c r="E13" s="146">
        <v>2</v>
      </c>
      <c r="F13" s="146">
        <v>0</v>
      </c>
      <c r="G13" s="146">
        <v>0</v>
      </c>
      <c r="H13" s="146">
        <v>0</v>
      </c>
      <c r="I13" s="147">
        <f t="shared" si="0"/>
        <v>0</v>
      </c>
      <c r="J13" s="22">
        <v>49040</v>
      </c>
      <c r="K13" s="12">
        <v>1360</v>
      </c>
      <c r="L13" s="33">
        <f t="shared" si="6"/>
        <v>6.1174551386623162E-5</v>
      </c>
      <c r="M13" s="171">
        <f t="shared" si="7"/>
        <v>0</v>
      </c>
      <c r="N13" s="31">
        <f t="shared" si="8"/>
        <v>4.0783034257748777E-5</v>
      </c>
      <c r="O13" s="31">
        <f t="shared" si="9"/>
        <v>0</v>
      </c>
      <c r="P13" s="31">
        <f t="shared" si="1"/>
        <v>0</v>
      </c>
      <c r="Q13" s="31">
        <f t="shared" si="2"/>
        <v>0</v>
      </c>
      <c r="R13" s="114">
        <f t="shared" si="3"/>
        <v>0</v>
      </c>
      <c r="S13" s="1">
        <f t="shared" si="4"/>
        <v>46</v>
      </c>
      <c r="T13" s="137">
        <f t="shared" si="5"/>
        <v>46</v>
      </c>
      <c r="U13" s="13"/>
      <c r="V13" s="13"/>
      <c r="W13" s="13"/>
      <c r="X13" s="13"/>
      <c r="Y13" s="13"/>
      <c r="Z13" s="13"/>
      <c r="AA13" s="13"/>
      <c r="AB13" s="13"/>
      <c r="AC13" s="13"/>
      <c r="AD13" s="13"/>
      <c r="AE13" s="13"/>
      <c r="AF13" s="13"/>
      <c r="AG13" s="13"/>
      <c r="AH13" s="13"/>
      <c r="AI13" s="13"/>
      <c r="AJ13" s="13"/>
      <c r="AK13" s="13"/>
      <c r="AL13" s="13"/>
      <c r="AM13" s="13"/>
      <c r="AN13" s="13"/>
      <c r="AO13" s="13"/>
      <c r="AP13" s="13"/>
    </row>
    <row r="14" spans="1:42" x14ac:dyDescent="0.25">
      <c r="A14" s="2" t="s">
        <v>16</v>
      </c>
      <c r="B14" s="2" t="s">
        <v>128</v>
      </c>
      <c r="C14" s="146" t="s">
        <v>311</v>
      </c>
      <c r="D14" s="146" t="s">
        <v>311</v>
      </c>
      <c r="E14" s="146" t="s">
        <v>311</v>
      </c>
      <c r="F14" s="146" t="s">
        <v>311</v>
      </c>
      <c r="G14" s="146">
        <v>4</v>
      </c>
      <c r="H14" s="146">
        <v>0</v>
      </c>
      <c r="I14" s="147">
        <f t="shared" si="0"/>
        <v>4</v>
      </c>
      <c r="J14" s="22">
        <v>26190</v>
      </c>
      <c r="K14" s="12">
        <v>2395</v>
      </c>
      <c r="L14" s="147" t="s">
        <v>311</v>
      </c>
      <c r="M14" s="170" t="s">
        <v>311</v>
      </c>
      <c r="N14" s="146" t="s">
        <v>311</v>
      </c>
      <c r="O14" s="146" t="s">
        <v>311</v>
      </c>
      <c r="P14" s="31">
        <f t="shared" si="1"/>
        <v>1.5273004963726612E-4</v>
      </c>
      <c r="Q14" s="31">
        <f t="shared" si="2"/>
        <v>0</v>
      </c>
      <c r="R14" s="114">
        <f t="shared" si="3"/>
        <v>1.3993353157250307E-4</v>
      </c>
      <c r="S14" s="1">
        <f t="shared" si="4"/>
        <v>40</v>
      </c>
      <c r="T14" s="137">
        <f t="shared" si="5"/>
        <v>43</v>
      </c>
      <c r="U14" s="13"/>
      <c r="V14" s="13"/>
      <c r="W14" s="13"/>
      <c r="X14" s="13"/>
      <c r="Y14" s="13"/>
      <c r="Z14" s="13"/>
      <c r="AA14" s="13"/>
      <c r="AB14" s="13"/>
      <c r="AC14" s="13"/>
      <c r="AD14" s="13"/>
      <c r="AE14" s="13"/>
      <c r="AF14" s="13"/>
      <c r="AG14" s="13"/>
      <c r="AH14" s="13"/>
      <c r="AI14" s="13"/>
      <c r="AJ14" s="13"/>
      <c r="AK14" s="13"/>
      <c r="AL14" s="13"/>
      <c r="AM14" s="13"/>
      <c r="AN14" s="13"/>
      <c r="AO14" s="13"/>
      <c r="AP14" s="13"/>
    </row>
    <row r="15" spans="1:42" x14ac:dyDescent="0.25">
      <c r="A15" s="2" t="s">
        <v>16</v>
      </c>
      <c r="B15" s="2" t="s">
        <v>22</v>
      </c>
      <c r="C15" s="146">
        <v>170</v>
      </c>
      <c r="D15" s="146">
        <v>2</v>
      </c>
      <c r="E15" s="146">
        <v>5</v>
      </c>
      <c r="F15" s="146">
        <v>1</v>
      </c>
      <c r="G15" s="146">
        <v>0</v>
      </c>
      <c r="H15" s="146">
        <v>0</v>
      </c>
      <c r="I15" s="147">
        <f t="shared" si="0"/>
        <v>0</v>
      </c>
      <c r="J15" s="22">
        <v>24226</v>
      </c>
      <c r="K15" s="12">
        <v>915</v>
      </c>
      <c r="L15" s="33">
        <f t="shared" si="6"/>
        <v>7.017254189713531E-3</v>
      </c>
      <c r="M15" s="171">
        <f t="shared" si="7"/>
        <v>2.185792349726776E-3</v>
      </c>
      <c r="N15" s="31">
        <f t="shared" si="8"/>
        <v>2.0638982910922151E-4</v>
      </c>
      <c r="O15" s="31">
        <f t="shared" si="9"/>
        <v>1.092896174863388E-3</v>
      </c>
      <c r="P15" s="31">
        <f t="shared" si="1"/>
        <v>0</v>
      </c>
      <c r="Q15" s="31">
        <f t="shared" si="2"/>
        <v>0</v>
      </c>
      <c r="R15" s="114">
        <f t="shared" si="3"/>
        <v>0</v>
      </c>
      <c r="S15" s="1">
        <f t="shared" si="4"/>
        <v>46</v>
      </c>
      <c r="T15" s="137">
        <f t="shared" si="5"/>
        <v>46</v>
      </c>
      <c r="U15" s="13"/>
      <c r="V15" s="13"/>
      <c r="W15" s="13"/>
      <c r="X15" s="13"/>
      <c r="Y15" s="13"/>
      <c r="Z15" s="13"/>
      <c r="AA15" s="13"/>
      <c r="AB15" s="13"/>
      <c r="AC15" s="13"/>
      <c r="AD15" s="13"/>
      <c r="AE15" s="13"/>
      <c r="AF15" s="13"/>
      <c r="AG15" s="13"/>
      <c r="AH15" s="13"/>
      <c r="AI15" s="13"/>
      <c r="AJ15" s="13"/>
      <c r="AK15" s="13"/>
      <c r="AL15" s="13"/>
      <c r="AM15" s="13"/>
      <c r="AN15" s="13"/>
      <c r="AO15" s="13"/>
      <c r="AP15" s="13"/>
    </row>
    <row r="16" spans="1:42" x14ac:dyDescent="0.25">
      <c r="A16" s="2" t="s">
        <v>16</v>
      </c>
      <c r="B16" s="2" t="s">
        <v>23</v>
      </c>
      <c r="C16" s="146" t="s">
        <v>311</v>
      </c>
      <c r="D16" s="146" t="s">
        <v>311</v>
      </c>
      <c r="E16" s="146" t="s">
        <v>311</v>
      </c>
      <c r="F16" s="146" t="s">
        <v>311</v>
      </c>
      <c r="G16" s="146">
        <v>0</v>
      </c>
      <c r="H16" s="146">
        <v>0</v>
      </c>
      <c r="I16" s="147">
        <f t="shared" si="0"/>
        <v>0</v>
      </c>
      <c r="J16" s="22">
        <v>10761</v>
      </c>
      <c r="K16" s="12">
        <v>428</v>
      </c>
      <c r="L16" s="147" t="s">
        <v>311</v>
      </c>
      <c r="M16" s="170" t="s">
        <v>311</v>
      </c>
      <c r="N16" s="146" t="s">
        <v>311</v>
      </c>
      <c r="O16" s="146" t="s">
        <v>311</v>
      </c>
      <c r="P16" s="31">
        <f t="shared" si="1"/>
        <v>0</v>
      </c>
      <c r="Q16" s="31">
        <f t="shared" si="2"/>
        <v>0</v>
      </c>
      <c r="R16" s="114">
        <f t="shared" si="3"/>
        <v>0</v>
      </c>
      <c r="S16" s="1">
        <f t="shared" si="4"/>
        <v>46</v>
      </c>
      <c r="T16" s="137">
        <f t="shared" si="5"/>
        <v>46</v>
      </c>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x14ac:dyDescent="0.25">
      <c r="A17" s="2" t="s">
        <v>16</v>
      </c>
      <c r="B17" s="2" t="s">
        <v>24</v>
      </c>
      <c r="C17" s="146" t="s">
        <v>311</v>
      </c>
      <c r="D17" s="146" t="s">
        <v>311</v>
      </c>
      <c r="E17" s="146" t="s">
        <v>311</v>
      </c>
      <c r="F17" s="146" t="s">
        <v>311</v>
      </c>
      <c r="G17" s="146">
        <v>15624</v>
      </c>
      <c r="H17" s="146">
        <v>1222</v>
      </c>
      <c r="I17" s="147">
        <f t="shared" si="0"/>
        <v>16846</v>
      </c>
      <c r="J17" s="22">
        <v>65644</v>
      </c>
      <c r="K17" s="12">
        <v>20110</v>
      </c>
      <c r="L17" s="147" t="s">
        <v>311</v>
      </c>
      <c r="M17" s="170" t="s">
        <v>311</v>
      </c>
      <c r="N17" s="146" t="s">
        <v>311</v>
      </c>
      <c r="O17" s="146" t="s">
        <v>311</v>
      </c>
      <c r="P17" s="31">
        <f t="shared" si="1"/>
        <v>0.23801109012247881</v>
      </c>
      <c r="Q17" s="31">
        <f t="shared" si="2"/>
        <v>6.0765788165091997E-2</v>
      </c>
      <c r="R17" s="114">
        <f t="shared" si="3"/>
        <v>0.1964456468502927</v>
      </c>
      <c r="S17" s="1">
        <f t="shared" si="4"/>
        <v>1</v>
      </c>
      <c r="T17" s="137">
        <f t="shared" si="5"/>
        <v>12</v>
      </c>
      <c r="U17" s="13"/>
      <c r="V17" s="13"/>
      <c r="W17" s="13"/>
      <c r="X17" s="13"/>
      <c r="Y17" s="13"/>
      <c r="Z17" s="13"/>
      <c r="AA17" s="13"/>
      <c r="AB17" s="13"/>
      <c r="AC17" s="13"/>
      <c r="AD17" s="13"/>
      <c r="AE17" s="13"/>
      <c r="AF17" s="13"/>
      <c r="AG17" s="13"/>
      <c r="AH17" s="13"/>
      <c r="AI17" s="13"/>
      <c r="AJ17" s="13"/>
      <c r="AK17" s="13"/>
      <c r="AL17" s="13"/>
      <c r="AM17" s="13"/>
      <c r="AN17" s="13"/>
      <c r="AO17" s="13"/>
      <c r="AP17" s="13"/>
    </row>
    <row r="18" spans="1:42" x14ac:dyDescent="0.25">
      <c r="A18" s="2" t="s">
        <v>16</v>
      </c>
      <c r="B18" s="2" t="s">
        <v>25</v>
      </c>
      <c r="C18" s="146" t="s">
        <v>311</v>
      </c>
      <c r="D18" s="146" t="s">
        <v>311</v>
      </c>
      <c r="E18" s="146" t="s">
        <v>311</v>
      </c>
      <c r="F18" s="146" t="s">
        <v>311</v>
      </c>
      <c r="G18" s="146">
        <v>289</v>
      </c>
      <c r="H18" s="146">
        <v>9</v>
      </c>
      <c r="I18" s="147">
        <f t="shared" si="0"/>
        <v>298</v>
      </c>
      <c r="J18" s="22">
        <v>3712</v>
      </c>
      <c r="K18" s="12">
        <v>84</v>
      </c>
      <c r="L18" s="147" t="s">
        <v>311</v>
      </c>
      <c r="M18" s="170" t="s">
        <v>311</v>
      </c>
      <c r="N18" s="146" t="s">
        <v>311</v>
      </c>
      <c r="O18" s="146" t="s">
        <v>311</v>
      </c>
      <c r="P18" s="31">
        <f t="shared" si="1"/>
        <v>7.7855603448275856E-2</v>
      </c>
      <c r="Q18" s="31">
        <f t="shared" si="2"/>
        <v>0.10714285714285714</v>
      </c>
      <c r="R18" s="114">
        <f t="shared" si="3"/>
        <v>7.8503688092729187E-2</v>
      </c>
      <c r="S18" s="1">
        <f t="shared" si="4"/>
        <v>29</v>
      </c>
      <c r="T18" s="137">
        <f t="shared" si="5"/>
        <v>22</v>
      </c>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x14ac:dyDescent="0.25">
      <c r="A19" s="2" t="s">
        <v>16</v>
      </c>
      <c r="B19" s="2" t="s">
        <v>26</v>
      </c>
      <c r="C19" s="146">
        <v>40</v>
      </c>
      <c r="D19" s="146">
        <v>14</v>
      </c>
      <c r="E19" s="146">
        <v>29</v>
      </c>
      <c r="F19" s="146">
        <v>2</v>
      </c>
      <c r="G19" s="146">
        <v>435</v>
      </c>
      <c r="H19" s="146">
        <v>24</v>
      </c>
      <c r="I19" s="147">
        <f t="shared" si="0"/>
        <v>459</v>
      </c>
      <c r="J19" s="22">
        <v>19688</v>
      </c>
      <c r="K19" s="12">
        <v>521</v>
      </c>
      <c r="L19" s="33">
        <f t="shared" si="6"/>
        <v>2.0316944331572532E-3</v>
      </c>
      <c r="M19" s="171">
        <f t="shared" si="7"/>
        <v>2.6871401151631478E-2</v>
      </c>
      <c r="N19" s="31">
        <f t="shared" si="8"/>
        <v>1.4729784640390086E-3</v>
      </c>
      <c r="O19" s="31">
        <f t="shared" si="9"/>
        <v>3.838771593090211E-3</v>
      </c>
      <c r="P19" s="31">
        <f t="shared" si="1"/>
        <v>2.2094676960585129E-2</v>
      </c>
      <c r="Q19" s="31">
        <f t="shared" si="2"/>
        <v>4.6065259117082535E-2</v>
      </c>
      <c r="R19" s="114">
        <f t="shared" si="3"/>
        <v>2.2712652778465039E-2</v>
      </c>
      <c r="S19" s="1">
        <f t="shared" si="4"/>
        <v>27</v>
      </c>
      <c r="T19" s="137">
        <f t="shared" si="5"/>
        <v>28</v>
      </c>
      <c r="U19" s="13"/>
      <c r="V19" s="13"/>
      <c r="W19" s="13"/>
      <c r="X19" s="13"/>
      <c r="Y19" s="13"/>
      <c r="Z19" s="13"/>
      <c r="AA19" s="13"/>
      <c r="AB19" s="13"/>
      <c r="AC19" s="13"/>
      <c r="AD19" s="13"/>
      <c r="AE19" s="13"/>
      <c r="AF19" s="13"/>
      <c r="AG19" s="13"/>
      <c r="AH19" s="13"/>
      <c r="AI19" s="13"/>
      <c r="AJ19" s="13"/>
      <c r="AK19" s="13"/>
      <c r="AL19" s="13"/>
      <c r="AM19" s="13"/>
      <c r="AN19" s="13"/>
      <c r="AO19" s="13"/>
      <c r="AP19" s="13"/>
    </row>
    <row r="20" spans="1:42" x14ac:dyDescent="0.25">
      <c r="A20" s="2" t="s">
        <v>16</v>
      </c>
      <c r="B20" s="2" t="s">
        <v>27</v>
      </c>
      <c r="C20" s="146" t="s">
        <v>311</v>
      </c>
      <c r="D20" s="146" t="s">
        <v>311</v>
      </c>
      <c r="E20" s="146" t="s">
        <v>311</v>
      </c>
      <c r="F20" s="146" t="s">
        <v>311</v>
      </c>
      <c r="G20" s="146">
        <v>479</v>
      </c>
      <c r="H20" s="146">
        <v>25</v>
      </c>
      <c r="I20" s="147">
        <f t="shared" si="0"/>
        <v>504</v>
      </c>
      <c r="J20" s="22">
        <v>18902</v>
      </c>
      <c r="K20" s="12">
        <v>1671</v>
      </c>
      <c r="L20" s="147" t="s">
        <v>311</v>
      </c>
      <c r="M20" s="170" t="s">
        <v>311</v>
      </c>
      <c r="N20" s="146" t="s">
        <v>311</v>
      </c>
      <c r="O20" s="146" t="s">
        <v>311</v>
      </c>
      <c r="P20" s="31">
        <f t="shared" si="1"/>
        <v>2.5341233731880224E-2</v>
      </c>
      <c r="Q20" s="31">
        <f t="shared" si="2"/>
        <v>1.4961101137043686E-2</v>
      </c>
      <c r="R20" s="114">
        <f t="shared" si="3"/>
        <v>2.4498128615175231E-2</v>
      </c>
      <c r="S20" s="1">
        <f t="shared" si="4"/>
        <v>26</v>
      </c>
      <c r="T20" s="137">
        <f t="shared" si="5"/>
        <v>27</v>
      </c>
      <c r="U20" s="13"/>
      <c r="V20" s="13"/>
      <c r="W20" s="13"/>
      <c r="X20" s="13"/>
      <c r="Y20" s="13"/>
      <c r="Z20" s="13"/>
      <c r="AA20" s="13"/>
      <c r="AB20" s="13"/>
      <c r="AC20" s="13"/>
      <c r="AD20" s="13"/>
      <c r="AE20" s="13"/>
      <c r="AF20" s="13"/>
      <c r="AG20" s="13"/>
      <c r="AH20" s="13"/>
      <c r="AI20" s="13"/>
      <c r="AJ20" s="13"/>
      <c r="AK20" s="13"/>
      <c r="AL20" s="13"/>
      <c r="AM20" s="13"/>
      <c r="AN20" s="13"/>
      <c r="AO20" s="13"/>
      <c r="AP20" s="13"/>
    </row>
    <row r="21" spans="1:42" x14ac:dyDescent="0.25">
      <c r="A21" s="2" t="s">
        <v>16</v>
      </c>
      <c r="B21" s="2" t="s">
        <v>28</v>
      </c>
      <c r="C21" s="146">
        <v>367</v>
      </c>
      <c r="D21" s="146">
        <v>2</v>
      </c>
      <c r="E21" s="146">
        <v>2948</v>
      </c>
      <c r="F21" s="146">
        <v>92</v>
      </c>
      <c r="G21" s="146">
        <v>2402</v>
      </c>
      <c r="H21" s="146">
        <v>80</v>
      </c>
      <c r="I21" s="147">
        <f t="shared" si="0"/>
        <v>2482</v>
      </c>
      <c r="J21" s="22">
        <v>32992</v>
      </c>
      <c r="K21" s="12">
        <v>2805</v>
      </c>
      <c r="L21" s="33">
        <f t="shared" si="6"/>
        <v>1.1123908826382154E-2</v>
      </c>
      <c r="M21" s="171">
        <f t="shared" si="7"/>
        <v>7.1301247771836005E-4</v>
      </c>
      <c r="N21" s="31">
        <f t="shared" si="8"/>
        <v>8.935499515033947E-2</v>
      </c>
      <c r="O21" s="31">
        <f t="shared" si="9"/>
        <v>3.2798573975044563E-2</v>
      </c>
      <c r="P21" s="31">
        <f t="shared" si="1"/>
        <v>7.2805528612997092E-2</v>
      </c>
      <c r="Q21" s="31">
        <f t="shared" si="2"/>
        <v>2.8520499108734401E-2</v>
      </c>
      <c r="R21" s="114">
        <f t="shared" si="3"/>
        <v>6.9335419169204118E-2</v>
      </c>
      <c r="S21" s="1">
        <f t="shared" si="4"/>
        <v>10</v>
      </c>
      <c r="T21" s="137">
        <f t="shared" si="5"/>
        <v>24</v>
      </c>
      <c r="U21" s="13"/>
      <c r="V21" s="13"/>
      <c r="W21" s="13"/>
      <c r="X21" s="13"/>
      <c r="Y21" s="13"/>
      <c r="Z21" s="13"/>
      <c r="AA21" s="13"/>
      <c r="AB21" s="13"/>
      <c r="AC21" s="13"/>
      <c r="AD21" s="13"/>
      <c r="AE21" s="13"/>
      <c r="AF21" s="13"/>
      <c r="AG21" s="13"/>
      <c r="AH21" s="13"/>
      <c r="AI21" s="13"/>
      <c r="AJ21" s="13"/>
      <c r="AK21" s="13"/>
      <c r="AL21" s="13"/>
      <c r="AM21" s="13"/>
      <c r="AN21" s="13"/>
      <c r="AO21" s="13"/>
      <c r="AP21" s="13"/>
    </row>
    <row r="22" spans="1:42" s="15" customFormat="1" x14ac:dyDescent="0.25">
      <c r="A22" s="15" t="s">
        <v>16</v>
      </c>
      <c r="B22" s="16" t="s">
        <v>29</v>
      </c>
      <c r="C22" s="148" t="s">
        <v>311</v>
      </c>
      <c r="D22" s="148" t="s">
        <v>311</v>
      </c>
      <c r="E22" s="148" t="s">
        <v>311</v>
      </c>
      <c r="F22" s="148" t="s">
        <v>311</v>
      </c>
      <c r="G22" s="148">
        <v>1</v>
      </c>
      <c r="H22" s="148">
        <v>0</v>
      </c>
      <c r="I22" s="149">
        <f t="shared" si="0"/>
        <v>1</v>
      </c>
      <c r="J22" s="23">
        <v>14245</v>
      </c>
      <c r="K22" s="17">
        <v>512</v>
      </c>
      <c r="L22" s="149" t="s">
        <v>311</v>
      </c>
      <c r="M22" s="148" t="s">
        <v>311</v>
      </c>
      <c r="N22" s="148" t="s">
        <v>311</v>
      </c>
      <c r="O22" s="148" t="s">
        <v>311</v>
      </c>
      <c r="P22" s="32">
        <f t="shared" si="1"/>
        <v>7.0200070200070202E-5</v>
      </c>
      <c r="Q22" s="32">
        <f t="shared" si="2"/>
        <v>0</v>
      </c>
      <c r="R22" s="116">
        <f t="shared" si="3"/>
        <v>6.7764450769126517E-5</v>
      </c>
      <c r="S22" s="20">
        <f t="shared" si="4"/>
        <v>43</v>
      </c>
      <c r="T22" s="138">
        <f t="shared" si="5"/>
        <v>45</v>
      </c>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x14ac:dyDescent="0.25">
      <c r="A23" s="2" t="s">
        <v>30</v>
      </c>
      <c r="B23" s="2" t="s">
        <v>31</v>
      </c>
      <c r="C23" s="146" t="s">
        <v>311</v>
      </c>
      <c r="D23" s="146" t="s">
        <v>311</v>
      </c>
      <c r="E23" s="146" t="s">
        <v>311</v>
      </c>
      <c r="F23" s="146" t="s">
        <v>311</v>
      </c>
      <c r="G23" s="146">
        <v>0</v>
      </c>
      <c r="H23" s="146">
        <v>0</v>
      </c>
      <c r="I23" s="147">
        <f t="shared" si="0"/>
        <v>0</v>
      </c>
      <c r="J23" s="22">
        <v>28409</v>
      </c>
      <c r="K23" s="12">
        <v>2625</v>
      </c>
      <c r="L23" s="147" t="s">
        <v>311</v>
      </c>
      <c r="M23" s="170" t="s">
        <v>311</v>
      </c>
      <c r="N23" s="146" t="s">
        <v>311</v>
      </c>
      <c r="O23" s="146" t="s">
        <v>311</v>
      </c>
      <c r="P23" s="31">
        <f t="shared" si="1"/>
        <v>0</v>
      </c>
      <c r="Q23" s="31">
        <f t="shared" si="2"/>
        <v>0</v>
      </c>
      <c r="R23" s="114">
        <f t="shared" si="3"/>
        <v>0</v>
      </c>
      <c r="S23" s="1">
        <f t="shared" si="4"/>
        <v>46</v>
      </c>
      <c r="T23" s="137">
        <f t="shared" si="5"/>
        <v>46</v>
      </c>
      <c r="U23" s="13"/>
      <c r="V23" s="13"/>
      <c r="W23" s="13"/>
      <c r="X23" s="13"/>
      <c r="Y23" s="13"/>
      <c r="Z23" s="13"/>
      <c r="AA23" s="13"/>
      <c r="AB23" s="13"/>
      <c r="AC23" s="13"/>
      <c r="AD23" s="13"/>
      <c r="AE23" s="13"/>
      <c r="AF23" s="13"/>
      <c r="AG23" s="13"/>
      <c r="AH23" s="13"/>
      <c r="AI23" s="13"/>
      <c r="AJ23" s="13"/>
      <c r="AK23" s="13"/>
      <c r="AL23" s="13"/>
      <c r="AM23" s="13"/>
      <c r="AN23" s="13"/>
      <c r="AO23" s="13"/>
      <c r="AP23" s="13"/>
    </row>
    <row r="24" spans="1:42" x14ac:dyDescent="0.25">
      <c r="A24" s="2" t="s">
        <v>30</v>
      </c>
      <c r="B24" s="2" t="s">
        <v>32</v>
      </c>
      <c r="C24" s="146" t="s">
        <v>311</v>
      </c>
      <c r="D24" s="146" t="s">
        <v>311</v>
      </c>
      <c r="E24" s="146" t="s">
        <v>311</v>
      </c>
      <c r="F24" s="146" t="s">
        <v>311</v>
      </c>
      <c r="G24" s="146">
        <v>0</v>
      </c>
      <c r="H24" s="146">
        <v>0</v>
      </c>
      <c r="I24" s="147">
        <f t="shared" si="0"/>
        <v>0</v>
      </c>
      <c r="J24" s="22">
        <v>19254</v>
      </c>
      <c r="K24" s="12">
        <v>398</v>
      </c>
      <c r="L24" s="147" t="s">
        <v>311</v>
      </c>
      <c r="M24" s="170" t="s">
        <v>311</v>
      </c>
      <c r="N24" s="146" t="s">
        <v>311</v>
      </c>
      <c r="O24" s="146" t="s">
        <v>311</v>
      </c>
      <c r="P24" s="31">
        <f t="shared" si="1"/>
        <v>0</v>
      </c>
      <c r="Q24" s="31">
        <f t="shared" si="2"/>
        <v>0</v>
      </c>
      <c r="R24" s="114">
        <f t="shared" si="3"/>
        <v>0</v>
      </c>
      <c r="S24" s="1">
        <f t="shared" si="4"/>
        <v>46</v>
      </c>
      <c r="T24" s="137">
        <f t="shared" si="5"/>
        <v>46</v>
      </c>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x14ac:dyDescent="0.25">
      <c r="A25" s="2" t="s">
        <v>30</v>
      </c>
      <c r="B25" s="2" t="s">
        <v>33</v>
      </c>
      <c r="C25" s="146" t="s">
        <v>311</v>
      </c>
      <c r="D25" s="146" t="s">
        <v>311</v>
      </c>
      <c r="E25" s="146" t="s">
        <v>311</v>
      </c>
      <c r="F25" s="146" t="s">
        <v>311</v>
      </c>
      <c r="G25" s="146">
        <v>0</v>
      </c>
      <c r="H25" s="146">
        <v>0</v>
      </c>
      <c r="I25" s="147">
        <f t="shared" si="0"/>
        <v>0</v>
      </c>
      <c r="J25" s="22">
        <v>3359</v>
      </c>
      <c r="K25" s="12">
        <v>744</v>
      </c>
      <c r="L25" s="147" t="s">
        <v>311</v>
      </c>
      <c r="M25" s="170" t="s">
        <v>311</v>
      </c>
      <c r="N25" s="146" t="s">
        <v>311</v>
      </c>
      <c r="O25" s="146" t="s">
        <v>311</v>
      </c>
      <c r="P25" s="31">
        <f t="shared" si="1"/>
        <v>0</v>
      </c>
      <c r="Q25" s="31">
        <f t="shared" si="2"/>
        <v>0</v>
      </c>
      <c r="R25" s="114">
        <f t="shared" si="3"/>
        <v>0</v>
      </c>
      <c r="S25" s="1">
        <f t="shared" si="4"/>
        <v>46</v>
      </c>
      <c r="T25" s="137">
        <f t="shared" si="5"/>
        <v>46</v>
      </c>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x14ac:dyDescent="0.25">
      <c r="A26" s="2" t="s">
        <v>30</v>
      </c>
      <c r="B26" s="2" t="s">
        <v>34</v>
      </c>
      <c r="C26" s="146" t="s">
        <v>311</v>
      </c>
      <c r="D26" s="146" t="s">
        <v>311</v>
      </c>
      <c r="E26" s="146" t="s">
        <v>311</v>
      </c>
      <c r="F26" s="146" t="s">
        <v>311</v>
      </c>
      <c r="G26" s="146">
        <v>0</v>
      </c>
      <c r="H26" s="146">
        <v>0</v>
      </c>
      <c r="I26" s="147">
        <f t="shared" si="0"/>
        <v>0</v>
      </c>
      <c r="J26" s="22">
        <v>28214</v>
      </c>
      <c r="K26" s="12">
        <v>7820</v>
      </c>
      <c r="L26" s="147" t="s">
        <v>311</v>
      </c>
      <c r="M26" s="170" t="s">
        <v>311</v>
      </c>
      <c r="N26" s="146" t="s">
        <v>311</v>
      </c>
      <c r="O26" s="146" t="s">
        <v>311</v>
      </c>
      <c r="P26" s="31">
        <f t="shared" si="1"/>
        <v>0</v>
      </c>
      <c r="Q26" s="31">
        <f t="shared" si="2"/>
        <v>0</v>
      </c>
      <c r="R26" s="114">
        <f t="shared" si="3"/>
        <v>0</v>
      </c>
      <c r="S26" s="1">
        <f t="shared" si="4"/>
        <v>46</v>
      </c>
      <c r="T26" s="137">
        <f t="shared" si="5"/>
        <v>46</v>
      </c>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x14ac:dyDescent="0.25">
      <c r="A27" s="2" t="s">
        <v>30</v>
      </c>
      <c r="B27" s="2" t="s">
        <v>35</v>
      </c>
      <c r="C27" s="146" t="s">
        <v>311</v>
      </c>
      <c r="D27" s="146" t="s">
        <v>311</v>
      </c>
      <c r="E27" s="146" t="s">
        <v>311</v>
      </c>
      <c r="F27" s="146" t="s">
        <v>311</v>
      </c>
      <c r="G27" s="146">
        <v>198</v>
      </c>
      <c r="H27" s="146">
        <v>0</v>
      </c>
      <c r="I27" s="147">
        <f t="shared" si="0"/>
        <v>198</v>
      </c>
      <c r="J27" s="22">
        <v>12487</v>
      </c>
      <c r="K27" s="12">
        <v>3188</v>
      </c>
      <c r="L27" s="147" t="s">
        <v>311</v>
      </c>
      <c r="M27" s="170" t="s">
        <v>311</v>
      </c>
      <c r="N27" s="146" t="s">
        <v>311</v>
      </c>
      <c r="O27" s="146" t="s">
        <v>311</v>
      </c>
      <c r="P27" s="31">
        <f t="shared" si="1"/>
        <v>1.5856490750380394E-2</v>
      </c>
      <c r="Q27" s="31">
        <f t="shared" si="2"/>
        <v>0</v>
      </c>
      <c r="R27" s="114">
        <f t="shared" si="3"/>
        <v>1.2631578947368421E-2</v>
      </c>
      <c r="S27" s="1">
        <f t="shared" si="4"/>
        <v>30</v>
      </c>
      <c r="T27" s="137">
        <f t="shared" si="5"/>
        <v>33</v>
      </c>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x14ac:dyDescent="0.25">
      <c r="A28" s="2" t="s">
        <v>30</v>
      </c>
      <c r="B28" s="2" t="s">
        <v>36</v>
      </c>
      <c r="C28" s="146" t="s">
        <v>311</v>
      </c>
      <c r="D28" s="146" t="s">
        <v>311</v>
      </c>
      <c r="E28" s="146" t="s">
        <v>311</v>
      </c>
      <c r="F28" s="146" t="s">
        <v>311</v>
      </c>
      <c r="G28" s="146">
        <v>2727</v>
      </c>
      <c r="H28" s="146">
        <v>129</v>
      </c>
      <c r="I28" s="147">
        <f t="shared" si="0"/>
        <v>2856</v>
      </c>
      <c r="J28" s="22">
        <v>7364</v>
      </c>
      <c r="K28" s="12">
        <v>860</v>
      </c>
      <c r="L28" s="147" t="s">
        <v>311</v>
      </c>
      <c r="M28" s="170" t="s">
        <v>311</v>
      </c>
      <c r="N28" s="146" t="s">
        <v>311</v>
      </c>
      <c r="O28" s="146" t="s">
        <v>311</v>
      </c>
      <c r="P28" s="31">
        <f t="shared" si="1"/>
        <v>0.37031504617055949</v>
      </c>
      <c r="Q28" s="31">
        <f t="shared" si="2"/>
        <v>0.15</v>
      </c>
      <c r="R28" s="114">
        <f t="shared" si="3"/>
        <v>0.34727626459143968</v>
      </c>
      <c r="S28" s="1">
        <f t="shared" si="4"/>
        <v>6</v>
      </c>
      <c r="T28" s="137">
        <f t="shared" si="5"/>
        <v>2</v>
      </c>
      <c r="U28" s="13"/>
      <c r="V28" s="13"/>
      <c r="W28" s="13"/>
      <c r="X28" s="13"/>
      <c r="Y28" s="13"/>
      <c r="Z28" s="13"/>
      <c r="AA28" s="13"/>
      <c r="AB28" s="13"/>
      <c r="AC28" s="13"/>
      <c r="AD28" s="13"/>
      <c r="AE28" s="13"/>
      <c r="AF28" s="13"/>
      <c r="AG28" s="13"/>
      <c r="AH28" s="13"/>
      <c r="AI28" s="13"/>
      <c r="AJ28" s="13"/>
      <c r="AK28" s="13"/>
      <c r="AL28" s="13"/>
      <c r="AM28" s="13"/>
      <c r="AN28" s="13"/>
      <c r="AO28" s="13"/>
      <c r="AP28" s="13"/>
    </row>
    <row r="29" spans="1:42" x14ac:dyDescent="0.25">
      <c r="A29" s="2" t="s">
        <v>30</v>
      </c>
      <c r="B29" s="2" t="s">
        <v>37</v>
      </c>
      <c r="C29" s="146" t="s">
        <v>311</v>
      </c>
      <c r="D29" s="146" t="s">
        <v>311</v>
      </c>
      <c r="E29" s="146" t="s">
        <v>311</v>
      </c>
      <c r="F29" s="146" t="s">
        <v>311</v>
      </c>
      <c r="G29" s="146">
        <v>0</v>
      </c>
      <c r="H29" s="146">
        <v>0</v>
      </c>
      <c r="I29" s="147">
        <f t="shared" si="0"/>
        <v>0</v>
      </c>
      <c r="J29" s="22">
        <v>5712</v>
      </c>
      <c r="K29" s="12">
        <v>2748</v>
      </c>
      <c r="L29" s="147" t="s">
        <v>311</v>
      </c>
      <c r="M29" s="170" t="s">
        <v>311</v>
      </c>
      <c r="N29" s="146" t="s">
        <v>311</v>
      </c>
      <c r="O29" s="146" t="s">
        <v>311</v>
      </c>
      <c r="P29" s="31">
        <f t="shared" si="1"/>
        <v>0</v>
      </c>
      <c r="Q29" s="31">
        <f t="shared" si="2"/>
        <v>0</v>
      </c>
      <c r="R29" s="114">
        <f t="shared" si="3"/>
        <v>0</v>
      </c>
      <c r="S29" s="1">
        <f t="shared" si="4"/>
        <v>46</v>
      </c>
      <c r="T29" s="137">
        <f t="shared" si="5"/>
        <v>46</v>
      </c>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x14ac:dyDescent="0.25">
      <c r="A30" s="2" t="s">
        <v>30</v>
      </c>
      <c r="B30" s="2" t="s">
        <v>38</v>
      </c>
      <c r="C30" s="146" t="s">
        <v>311</v>
      </c>
      <c r="D30" s="146" t="s">
        <v>311</v>
      </c>
      <c r="E30" s="146" t="s">
        <v>311</v>
      </c>
      <c r="F30" s="146" t="s">
        <v>311</v>
      </c>
      <c r="G30" s="146">
        <v>2769</v>
      </c>
      <c r="H30" s="146">
        <v>14</v>
      </c>
      <c r="I30" s="147">
        <f t="shared" si="0"/>
        <v>2783</v>
      </c>
      <c r="J30" s="22">
        <v>7813</v>
      </c>
      <c r="K30" s="12">
        <v>527</v>
      </c>
      <c r="L30" s="147" t="s">
        <v>311</v>
      </c>
      <c r="M30" s="170" t="s">
        <v>311</v>
      </c>
      <c r="N30" s="146" t="s">
        <v>311</v>
      </c>
      <c r="O30" s="146" t="s">
        <v>311</v>
      </c>
      <c r="P30" s="31">
        <f t="shared" si="1"/>
        <v>0.35440931780366058</v>
      </c>
      <c r="Q30" s="31">
        <f t="shared" si="2"/>
        <v>2.6565464895635674E-2</v>
      </c>
      <c r="R30" s="114">
        <f t="shared" si="3"/>
        <v>0.33369304556354917</v>
      </c>
      <c r="S30" s="1">
        <f t="shared" si="4"/>
        <v>7</v>
      </c>
      <c r="T30" s="137">
        <f t="shared" si="5"/>
        <v>5</v>
      </c>
      <c r="U30" s="13"/>
      <c r="V30" s="13"/>
      <c r="W30" s="13"/>
      <c r="X30" s="13"/>
      <c r="Y30" s="13"/>
      <c r="Z30" s="13"/>
      <c r="AA30" s="13"/>
      <c r="AB30" s="13"/>
      <c r="AC30" s="13"/>
      <c r="AD30" s="13"/>
      <c r="AE30" s="13"/>
      <c r="AF30" s="13"/>
      <c r="AG30" s="13"/>
      <c r="AH30" s="13"/>
      <c r="AI30" s="13"/>
      <c r="AJ30" s="13"/>
      <c r="AK30" s="13"/>
      <c r="AL30" s="13"/>
      <c r="AM30" s="13"/>
      <c r="AN30" s="13"/>
      <c r="AO30" s="13"/>
      <c r="AP30" s="13"/>
    </row>
    <row r="31" spans="1:42" x14ac:dyDescent="0.25">
      <c r="A31" s="2" t="s">
        <v>30</v>
      </c>
      <c r="B31" s="2" t="s">
        <v>39</v>
      </c>
      <c r="C31" s="146">
        <v>0</v>
      </c>
      <c r="D31" s="146">
        <v>0</v>
      </c>
      <c r="E31" s="146">
        <v>90</v>
      </c>
      <c r="F31" s="146">
        <v>0</v>
      </c>
      <c r="G31" s="146">
        <v>880</v>
      </c>
      <c r="H31" s="146">
        <v>88</v>
      </c>
      <c r="I31" s="147">
        <f t="shared" si="0"/>
        <v>968</v>
      </c>
      <c r="J31" s="22">
        <v>9617</v>
      </c>
      <c r="K31" s="12">
        <v>2899</v>
      </c>
      <c r="L31" s="33">
        <f t="shared" si="6"/>
        <v>0</v>
      </c>
      <c r="M31" s="171">
        <f t="shared" si="7"/>
        <v>0</v>
      </c>
      <c r="N31" s="31">
        <f t="shared" si="8"/>
        <v>9.3584277841322651E-3</v>
      </c>
      <c r="O31" s="31">
        <f t="shared" si="9"/>
        <v>0</v>
      </c>
      <c r="P31" s="31">
        <f t="shared" si="1"/>
        <v>9.1504627222626603E-2</v>
      </c>
      <c r="Q31" s="31">
        <f t="shared" si="2"/>
        <v>3.0355294929285962E-2</v>
      </c>
      <c r="R31" s="114">
        <f t="shared" si="3"/>
        <v>7.7341003515500162E-2</v>
      </c>
      <c r="S31" s="1">
        <f t="shared" si="4"/>
        <v>22</v>
      </c>
      <c r="T31" s="137">
        <f t="shared" si="5"/>
        <v>23</v>
      </c>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x14ac:dyDescent="0.25">
      <c r="A32" s="2" t="s">
        <v>30</v>
      </c>
      <c r="B32" s="2" t="s">
        <v>40</v>
      </c>
      <c r="C32" s="146" t="s">
        <v>311</v>
      </c>
      <c r="D32" s="146" t="s">
        <v>311</v>
      </c>
      <c r="E32" s="146" t="s">
        <v>311</v>
      </c>
      <c r="F32" s="146" t="s">
        <v>311</v>
      </c>
      <c r="G32" s="146">
        <v>45</v>
      </c>
      <c r="H32" s="146">
        <v>0</v>
      </c>
      <c r="I32" s="147">
        <f t="shared" si="0"/>
        <v>45</v>
      </c>
      <c r="J32" s="22">
        <v>4141</v>
      </c>
      <c r="K32" s="12">
        <v>1476</v>
      </c>
      <c r="L32" s="147" t="s">
        <v>311</v>
      </c>
      <c r="M32" s="170" t="s">
        <v>311</v>
      </c>
      <c r="N32" s="146" t="s">
        <v>311</v>
      </c>
      <c r="O32" s="146" t="s">
        <v>311</v>
      </c>
      <c r="P32" s="31">
        <f t="shared" si="1"/>
        <v>1.0866940352571842E-2</v>
      </c>
      <c r="Q32" s="31">
        <f t="shared" si="2"/>
        <v>0</v>
      </c>
      <c r="R32" s="114">
        <f t="shared" si="3"/>
        <v>8.0113939825529647E-3</v>
      </c>
      <c r="S32" s="1">
        <f t="shared" si="4"/>
        <v>34</v>
      </c>
      <c r="T32" s="137">
        <f t="shared" si="5"/>
        <v>34</v>
      </c>
      <c r="U32" s="13"/>
      <c r="V32" s="13"/>
      <c r="W32" s="13"/>
      <c r="X32" s="13"/>
      <c r="Y32" s="13"/>
      <c r="Z32" s="13"/>
      <c r="AA32" s="13"/>
      <c r="AB32" s="13"/>
      <c r="AC32" s="13"/>
      <c r="AD32" s="13"/>
      <c r="AE32" s="13"/>
      <c r="AF32" s="13"/>
      <c r="AG32" s="13"/>
      <c r="AH32" s="13"/>
      <c r="AI32" s="13"/>
      <c r="AJ32" s="13"/>
      <c r="AK32" s="13"/>
      <c r="AL32" s="13"/>
      <c r="AM32" s="13"/>
      <c r="AN32" s="13"/>
      <c r="AO32" s="13"/>
      <c r="AP32" s="13"/>
    </row>
    <row r="33" spans="1:42" x14ac:dyDescent="0.25">
      <c r="A33" s="2" t="s">
        <v>30</v>
      </c>
      <c r="B33" s="2" t="s">
        <v>41</v>
      </c>
      <c r="C33" s="146" t="s">
        <v>311</v>
      </c>
      <c r="D33" s="146" t="s">
        <v>311</v>
      </c>
      <c r="E33" s="146" t="s">
        <v>311</v>
      </c>
      <c r="F33" s="146" t="s">
        <v>311</v>
      </c>
      <c r="G33" s="146">
        <v>0</v>
      </c>
      <c r="H33" s="146">
        <v>0</v>
      </c>
      <c r="I33" s="147">
        <f t="shared" si="0"/>
        <v>0</v>
      </c>
      <c r="J33" s="22">
        <v>12141</v>
      </c>
      <c r="K33" s="12">
        <v>52</v>
      </c>
      <c r="L33" s="147" t="s">
        <v>311</v>
      </c>
      <c r="M33" s="170" t="s">
        <v>311</v>
      </c>
      <c r="N33" s="146" t="s">
        <v>311</v>
      </c>
      <c r="O33" s="146" t="s">
        <v>311</v>
      </c>
      <c r="P33" s="31">
        <f t="shared" si="1"/>
        <v>0</v>
      </c>
      <c r="Q33" s="31">
        <f t="shared" si="2"/>
        <v>0</v>
      </c>
      <c r="R33" s="114">
        <f t="shared" si="3"/>
        <v>0</v>
      </c>
      <c r="S33" s="1">
        <f t="shared" si="4"/>
        <v>46</v>
      </c>
      <c r="T33" s="137">
        <f t="shared" si="5"/>
        <v>46</v>
      </c>
      <c r="U33" s="13"/>
      <c r="V33" s="13"/>
      <c r="W33" s="13"/>
      <c r="X33" s="13"/>
      <c r="Y33" s="13"/>
      <c r="Z33" s="13"/>
      <c r="AA33" s="13"/>
      <c r="AB33" s="13"/>
      <c r="AC33" s="13"/>
      <c r="AD33" s="13"/>
      <c r="AE33" s="13"/>
      <c r="AF33" s="13"/>
      <c r="AG33" s="13"/>
      <c r="AH33" s="13"/>
      <c r="AI33" s="13"/>
      <c r="AJ33" s="13"/>
      <c r="AK33" s="13"/>
      <c r="AL33" s="13"/>
      <c r="AM33" s="13"/>
      <c r="AN33" s="13"/>
      <c r="AO33" s="13"/>
      <c r="AP33" s="13"/>
    </row>
    <row r="34" spans="1:42" x14ac:dyDescent="0.25">
      <c r="A34" s="2" t="s">
        <v>30</v>
      </c>
      <c r="B34" s="2" t="s">
        <v>42</v>
      </c>
      <c r="C34" s="146" t="s">
        <v>311</v>
      </c>
      <c r="D34" s="146" t="s">
        <v>311</v>
      </c>
      <c r="E34" s="146" t="s">
        <v>311</v>
      </c>
      <c r="F34" s="146" t="s">
        <v>311</v>
      </c>
      <c r="G34" s="146">
        <v>1715</v>
      </c>
      <c r="H34" s="146">
        <v>1</v>
      </c>
      <c r="I34" s="147">
        <f t="shared" si="0"/>
        <v>1716</v>
      </c>
      <c r="J34" s="22">
        <v>6942</v>
      </c>
      <c r="K34" s="12">
        <v>269</v>
      </c>
      <c r="L34" s="147" t="s">
        <v>311</v>
      </c>
      <c r="M34" s="170" t="s">
        <v>311</v>
      </c>
      <c r="N34" s="146" t="s">
        <v>311</v>
      </c>
      <c r="O34" s="146" t="s">
        <v>311</v>
      </c>
      <c r="P34" s="31">
        <f t="shared" si="1"/>
        <v>0.24704696053010661</v>
      </c>
      <c r="Q34" s="31">
        <f t="shared" si="2"/>
        <v>3.7174721189591076E-3</v>
      </c>
      <c r="R34" s="114">
        <f t="shared" si="3"/>
        <v>0.23796976840937456</v>
      </c>
      <c r="S34" s="1">
        <f t="shared" si="4"/>
        <v>15</v>
      </c>
      <c r="T34" s="137">
        <f t="shared" si="5"/>
        <v>10</v>
      </c>
      <c r="U34" s="13"/>
      <c r="V34" s="13"/>
      <c r="W34" s="13"/>
      <c r="X34" s="13"/>
      <c r="Y34" s="13"/>
      <c r="Z34" s="13"/>
      <c r="AA34" s="13"/>
      <c r="AB34" s="13"/>
      <c r="AC34" s="13"/>
      <c r="AD34" s="13"/>
      <c r="AE34" s="13"/>
      <c r="AF34" s="13"/>
      <c r="AG34" s="13"/>
      <c r="AH34" s="13"/>
      <c r="AI34" s="13"/>
      <c r="AJ34" s="13"/>
      <c r="AK34" s="13"/>
      <c r="AL34" s="13"/>
      <c r="AM34" s="13"/>
      <c r="AN34" s="13"/>
      <c r="AO34" s="13"/>
      <c r="AP34" s="13"/>
    </row>
    <row r="35" spans="1:42" x14ac:dyDescent="0.25">
      <c r="A35" s="2" t="s">
        <v>30</v>
      </c>
      <c r="B35" s="2" t="s">
        <v>43</v>
      </c>
      <c r="C35" s="146" t="s">
        <v>311</v>
      </c>
      <c r="D35" s="146" t="s">
        <v>311</v>
      </c>
      <c r="E35" s="146" t="s">
        <v>311</v>
      </c>
      <c r="F35" s="146" t="s">
        <v>311</v>
      </c>
      <c r="G35" s="146">
        <v>41</v>
      </c>
      <c r="H35" s="146">
        <v>0</v>
      </c>
      <c r="I35" s="147">
        <f t="shared" si="0"/>
        <v>41</v>
      </c>
      <c r="J35" s="22">
        <v>5296</v>
      </c>
      <c r="K35" s="12">
        <v>844</v>
      </c>
      <c r="L35" s="147" t="s">
        <v>311</v>
      </c>
      <c r="M35" s="170" t="s">
        <v>311</v>
      </c>
      <c r="N35" s="146" t="s">
        <v>311</v>
      </c>
      <c r="O35" s="146" t="s">
        <v>311</v>
      </c>
      <c r="P35" s="31">
        <f t="shared" si="1"/>
        <v>7.7416918429003018E-3</v>
      </c>
      <c r="Q35" s="31">
        <f t="shared" si="2"/>
        <v>0</v>
      </c>
      <c r="R35" s="114">
        <f t="shared" si="3"/>
        <v>6.6775244299674269E-3</v>
      </c>
      <c r="S35" s="1">
        <f t="shared" si="4"/>
        <v>35</v>
      </c>
      <c r="T35" s="137">
        <f t="shared" si="5"/>
        <v>35</v>
      </c>
      <c r="U35" s="13"/>
      <c r="V35" s="13"/>
      <c r="W35" s="13"/>
      <c r="X35" s="13"/>
      <c r="Y35" s="13"/>
      <c r="Z35" s="13"/>
      <c r="AA35" s="13"/>
      <c r="AB35" s="13"/>
      <c r="AC35" s="13"/>
      <c r="AD35" s="13"/>
      <c r="AE35" s="13"/>
      <c r="AF35" s="13"/>
      <c r="AG35" s="13"/>
      <c r="AH35" s="13"/>
      <c r="AI35" s="13"/>
      <c r="AJ35" s="13"/>
      <c r="AK35" s="13"/>
      <c r="AL35" s="13"/>
      <c r="AM35" s="13"/>
      <c r="AN35" s="13"/>
      <c r="AO35" s="13"/>
      <c r="AP35" s="13"/>
    </row>
    <row r="36" spans="1:42" x14ac:dyDescent="0.25">
      <c r="A36" s="2" t="s">
        <v>30</v>
      </c>
      <c r="B36" s="2" t="s">
        <v>44</v>
      </c>
      <c r="C36" s="146">
        <v>0</v>
      </c>
      <c r="D36" s="146">
        <v>0</v>
      </c>
      <c r="E36" s="146">
        <v>1</v>
      </c>
      <c r="F36" s="146">
        <v>0</v>
      </c>
      <c r="G36" s="146">
        <v>0</v>
      </c>
      <c r="H36" s="146">
        <v>0</v>
      </c>
      <c r="I36" s="147">
        <f t="shared" si="0"/>
        <v>0</v>
      </c>
      <c r="J36" s="22">
        <v>16444</v>
      </c>
      <c r="K36" s="12">
        <v>1659</v>
      </c>
      <c r="L36" s="33">
        <f t="shared" si="6"/>
        <v>0</v>
      </c>
      <c r="M36" s="171">
        <f t="shared" si="7"/>
        <v>0</v>
      </c>
      <c r="N36" s="31">
        <f t="shared" si="8"/>
        <v>6.0812454390659207E-5</v>
      </c>
      <c r="O36" s="31">
        <f t="shared" si="9"/>
        <v>0</v>
      </c>
      <c r="P36" s="31">
        <f t="shared" si="1"/>
        <v>0</v>
      </c>
      <c r="Q36" s="31">
        <f t="shared" si="2"/>
        <v>0</v>
      </c>
      <c r="R36" s="114">
        <f t="shared" si="3"/>
        <v>0</v>
      </c>
      <c r="S36" s="1">
        <f t="shared" si="4"/>
        <v>46</v>
      </c>
      <c r="T36" s="137">
        <f t="shared" si="5"/>
        <v>46</v>
      </c>
      <c r="U36" s="13"/>
      <c r="V36" s="13"/>
      <c r="W36" s="13"/>
      <c r="X36" s="13"/>
      <c r="Y36" s="13"/>
      <c r="Z36" s="13"/>
      <c r="AA36" s="13"/>
      <c r="AB36" s="13"/>
      <c r="AC36" s="13"/>
      <c r="AD36" s="13"/>
      <c r="AE36" s="13"/>
      <c r="AF36" s="13"/>
      <c r="AG36" s="13"/>
      <c r="AH36" s="13"/>
      <c r="AI36" s="13"/>
      <c r="AJ36" s="13"/>
      <c r="AK36" s="13"/>
      <c r="AL36" s="13"/>
      <c r="AM36" s="13"/>
      <c r="AN36" s="13"/>
      <c r="AO36" s="13"/>
      <c r="AP36" s="13"/>
    </row>
    <row r="37" spans="1:42" x14ac:dyDescent="0.25">
      <c r="A37" s="2" t="s">
        <v>30</v>
      </c>
      <c r="B37" s="2" t="s">
        <v>45</v>
      </c>
      <c r="C37" s="146" t="s">
        <v>311</v>
      </c>
      <c r="D37" s="146" t="s">
        <v>311</v>
      </c>
      <c r="E37" s="146" t="s">
        <v>311</v>
      </c>
      <c r="F37" s="146" t="s">
        <v>311</v>
      </c>
      <c r="G37" s="146">
        <v>0</v>
      </c>
      <c r="H37" s="146">
        <v>0</v>
      </c>
      <c r="I37" s="147">
        <f t="shared" si="0"/>
        <v>0</v>
      </c>
      <c r="J37" s="22">
        <v>8530</v>
      </c>
      <c r="K37" s="12">
        <v>2434</v>
      </c>
      <c r="L37" s="147" t="s">
        <v>311</v>
      </c>
      <c r="M37" s="170" t="s">
        <v>311</v>
      </c>
      <c r="N37" s="146" t="s">
        <v>311</v>
      </c>
      <c r="O37" s="31" t="s">
        <v>311</v>
      </c>
      <c r="P37" s="31">
        <f t="shared" si="1"/>
        <v>0</v>
      </c>
      <c r="Q37" s="31">
        <f t="shared" si="2"/>
        <v>0</v>
      </c>
      <c r="R37" s="114">
        <f t="shared" si="3"/>
        <v>0</v>
      </c>
      <c r="S37" s="1">
        <f t="shared" si="4"/>
        <v>46</v>
      </c>
      <c r="T37" s="137">
        <f t="shared" si="5"/>
        <v>46</v>
      </c>
      <c r="U37" s="13"/>
      <c r="V37" s="13"/>
      <c r="W37" s="13"/>
      <c r="X37" s="13"/>
      <c r="Y37" s="13"/>
      <c r="Z37" s="13"/>
      <c r="AA37" s="13"/>
      <c r="AB37" s="13"/>
      <c r="AC37" s="13"/>
      <c r="AD37" s="13"/>
      <c r="AE37" s="13"/>
      <c r="AF37" s="13"/>
      <c r="AG37" s="13"/>
      <c r="AH37" s="13"/>
      <c r="AI37" s="13"/>
      <c r="AJ37" s="13"/>
      <c r="AK37" s="13"/>
      <c r="AL37" s="13"/>
      <c r="AM37" s="13"/>
      <c r="AN37" s="13"/>
      <c r="AO37" s="13"/>
      <c r="AP37" s="13"/>
    </row>
    <row r="38" spans="1:42" x14ac:dyDescent="0.25">
      <c r="A38" s="2" t="s">
        <v>30</v>
      </c>
      <c r="B38" s="2" t="s">
        <v>46</v>
      </c>
      <c r="C38" s="146" t="s">
        <v>311</v>
      </c>
      <c r="D38" s="146" t="s">
        <v>311</v>
      </c>
      <c r="E38" s="146" t="s">
        <v>311</v>
      </c>
      <c r="F38" s="146" t="s">
        <v>311</v>
      </c>
      <c r="G38" s="146">
        <v>475</v>
      </c>
      <c r="H38" s="146">
        <v>70</v>
      </c>
      <c r="I38" s="147">
        <f t="shared" si="0"/>
        <v>545</v>
      </c>
      <c r="J38" s="22">
        <v>22604</v>
      </c>
      <c r="K38" s="12">
        <v>6307</v>
      </c>
      <c r="L38" s="147" t="s">
        <v>311</v>
      </c>
      <c r="M38" s="170" t="s">
        <v>311</v>
      </c>
      <c r="N38" s="146" t="s">
        <v>311</v>
      </c>
      <c r="O38" s="146" t="s">
        <v>311</v>
      </c>
      <c r="P38" s="31">
        <f t="shared" si="1"/>
        <v>2.1013979826579366E-2</v>
      </c>
      <c r="Q38" s="31">
        <f t="shared" si="2"/>
        <v>1.1098779134295227E-2</v>
      </c>
      <c r="R38" s="114">
        <f t="shared" si="3"/>
        <v>1.8850956383383487E-2</v>
      </c>
      <c r="S38" s="1">
        <f t="shared" si="4"/>
        <v>25</v>
      </c>
      <c r="T38" s="137">
        <f t="shared" si="5"/>
        <v>31</v>
      </c>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x14ac:dyDescent="0.25">
      <c r="A39" s="2" t="s">
        <v>30</v>
      </c>
      <c r="B39" s="2" t="s">
        <v>47</v>
      </c>
      <c r="C39" s="146" t="s">
        <v>311</v>
      </c>
      <c r="D39" s="146" t="s">
        <v>311</v>
      </c>
      <c r="E39" s="146" t="s">
        <v>311</v>
      </c>
      <c r="F39" s="146" t="s">
        <v>311</v>
      </c>
      <c r="G39" s="146">
        <v>0</v>
      </c>
      <c r="H39" s="146">
        <v>0</v>
      </c>
      <c r="I39" s="147">
        <f t="shared" si="0"/>
        <v>0</v>
      </c>
      <c r="J39" s="22">
        <v>4370</v>
      </c>
      <c r="K39" s="12">
        <v>1962</v>
      </c>
      <c r="L39" s="147" t="s">
        <v>311</v>
      </c>
      <c r="M39" s="170" t="s">
        <v>311</v>
      </c>
      <c r="N39" s="146" t="s">
        <v>311</v>
      </c>
      <c r="O39" s="146" t="s">
        <v>311</v>
      </c>
      <c r="P39" s="31">
        <f t="shared" si="1"/>
        <v>0</v>
      </c>
      <c r="Q39" s="31">
        <f t="shared" si="2"/>
        <v>0</v>
      </c>
      <c r="R39" s="114">
        <f t="shared" si="3"/>
        <v>0</v>
      </c>
      <c r="S39" s="1">
        <f t="shared" si="4"/>
        <v>46</v>
      </c>
      <c r="T39" s="137">
        <f t="shared" si="5"/>
        <v>46</v>
      </c>
      <c r="U39" s="13"/>
      <c r="V39" s="13"/>
      <c r="W39" s="13"/>
      <c r="X39" s="13"/>
      <c r="Y39" s="13"/>
      <c r="Z39" s="13"/>
      <c r="AA39" s="13"/>
      <c r="AB39" s="13"/>
      <c r="AC39" s="13"/>
      <c r="AD39" s="13"/>
      <c r="AE39" s="13"/>
      <c r="AF39" s="13"/>
      <c r="AG39" s="13"/>
      <c r="AH39" s="13"/>
      <c r="AI39" s="13"/>
      <c r="AJ39" s="13"/>
      <c r="AK39" s="13"/>
      <c r="AL39" s="13"/>
      <c r="AM39" s="13"/>
      <c r="AN39" s="13"/>
      <c r="AO39" s="13"/>
      <c r="AP39" s="13"/>
    </row>
    <row r="40" spans="1:42" x14ac:dyDescent="0.25">
      <c r="A40" s="2" t="s">
        <v>30</v>
      </c>
      <c r="B40" s="2" t="s">
        <v>48</v>
      </c>
      <c r="C40" s="146">
        <v>3895</v>
      </c>
      <c r="D40" s="146">
        <v>712</v>
      </c>
      <c r="E40" s="146">
        <v>3</v>
      </c>
      <c r="F40" s="146">
        <v>0</v>
      </c>
      <c r="G40" s="146">
        <v>0</v>
      </c>
      <c r="H40" s="146">
        <v>0</v>
      </c>
      <c r="I40" s="147">
        <f t="shared" si="0"/>
        <v>0</v>
      </c>
      <c r="J40" s="22">
        <v>18045</v>
      </c>
      <c r="K40" s="12">
        <v>5643</v>
      </c>
      <c r="L40" s="33">
        <f t="shared" si="6"/>
        <v>0.21584926572457744</v>
      </c>
      <c r="M40" s="171">
        <f t="shared" si="7"/>
        <v>0.12617402091086302</v>
      </c>
      <c r="N40" s="31">
        <f t="shared" si="8"/>
        <v>1.6625103906899418E-4</v>
      </c>
      <c r="O40" s="31">
        <f t="shared" si="9"/>
        <v>0</v>
      </c>
      <c r="P40" s="31">
        <f t="shared" si="1"/>
        <v>0</v>
      </c>
      <c r="Q40" s="31">
        <f t="shared" si="2"/>
        <v>0</v>
      </c>
      <c r="R40" s="114">
        <f t="shared" si="3"/>
        <v>0</v>
      </c>
      <c r="S40" s="1">
        <f t="shared" si="4"/>
        <v>46</v>
      </c>
      <c r="T40" s="137">
        <f t="shared" si="5"/>
        <v>46</v>
      </c>
      <c r="U40" s="13"/>
      <c r="V40" s="13"/>
      <c r="W40" s="13"/>
      <c r="X40" s="13"/>
      <c r="Y40" s="13"/>
      <c r="Z40" s="13"/>
      <c r="AA40" s="13"/>
      <c r="AB40" s="13"/>
      <c r="AC40" s="13"/>
      <c r="AD40" s="13"/>
      <c r="AE40" s="13"/>
      <c r="AF40" s="13"/>
      <c r="AG40" s="13"/>
      <c r="AH40" s="13"/>
      <c r="AI40" s="13"/>
      <c r="AJ40" s="13"/>
      <c r="AK40" s="13"/>
      <c r="AL40" s="13"/>
      <c r="AM40" s="13"/>
      <c r="AN40" s="13"/>
      <c r="AO40" s="13"/>
      <c r="AP40" s="13"/>
    </row>
    <row r="41" spans="1:42" x14ac:dyDescent="0.25">
      <c r="A41" s="2" t="s">
        <v>30</v>
      </c>
      <c r="B41" s="2" t="s">
        <v>49</v>
      </c>
      <c r="C41" s="146">
        <v>1758</v>
      </c>
      <c r="D41" s="146">
        <v>172</v>
      </c>
      <c r="E41" s="146">
        <v>5399</v>
      </c>
      <c r="F41" s="146">
        <v>230</v>
      </c>
      <c r="G41" s="146">
        <v>5293</v>
      </c>
      <c r="H41" s="146">
        <v>126</v>
      </c>
      <c r="I41" s="147">
        <f t="shared" si="0"/>
        <v>5419</v>
      </c>
      <c r="J41" s="22">
        <v>50025</v>
      </c>
      <c r="K41" s="12">
        <v>4886</v>
      </c>
      <c r="L41" s="33">
        <f t="shared" si="6"/>
        <v>3.5142428785607194E-2</v>
      </c>
      <c r="M41" s="171">
        <f t="shared" si="7"/>
        <v>3.5202619729840359E-2</v>
      </c>
      <c r="N41" s="31">
        <f t="shared" si="8"/>
        <v>0.10792603698150925</v>
      </c>
      <c r="O41" s="31">
        <f t="shared" si="9"/>
        <v>4.7073270568972578E-2</v>
      </c>
      <c r="P41" s="31">
        <f t="shared" si="1"/>
        <v>0.10580709645177411</v>
      </c>
      <c r="Q41" s="31">
        <f t="shared" si="2"/>
        <v>2.5787965616045846E-2</v>
      </c>
      <c r="R41" s="114">
        <f t="shared" si="3"/>
        <v>9.8686966181639385E-2</v>
      </c>
      <c r="S41" s="1">
        <f t="shared" si="4"/>
        <v>2</v>
      </c>
      <c r="T41" s="137">
        <f t="shared" si="5"/>
        <v>19</v>
      </c>
      <c r="U41" s="13"/>
      <c r="V41" s="13"/>
      <c r="W41" s="13"/>
      <c r="X41" s="13"/>
      <c r="Y41" s="13"/>
      <c r="Z41" s="13"/>
      <c r="AA41" s="13"/>
      <c r="AB41" s="13"/>
      <c r="AC41" s="13"/>
      <c r="AD41" s="13"/>
      <c r="AE41" s="13"/>
      <c r="AF41" s="13"/>
      <c r="AG41" s="13"/>
      <c r="AH41" s="13"/>
      <c r="AI41" s="13"/>
      <c r="AJ41" s="13"/>
      <c r="AK41" s="13"/>
      <c r="AL41" s="13"/>
      <c r="AM41" s="13"/>
      <c r="AN41" s="13"/>
      <c r="AO41" s="13"/>
      <c r="AP41" s="13"/>
    </row>
    <row r="42" spans="1:42" s="15" customFormat="1" x14ac:dyDescent="0.25">
      <c r="A42" s="15" t="s">
        <v>30</v>
      </c>
      <c r="B42" s="15" t="s">
        <v>50</v>
      </c>
      <c r="C42" s="148" t="s">
        <v>311</v>
      </c>
      <c r="D42" s="148" t="s">
        <v>311</v>
      </c>
      <c r="E42" s="148" t="s">
        <v>311</v>
      </c>
      <c r="F42" s="148" t="s">
        <v>311</v>
      </c>
      <c r="G42" s="148">
        <v>0</v>
      </c>
      <c r="H42" s="148">
        <v>0</v>
      </c>
      <c r="I42" s="149">
        <f t="shared" si="0"/>
        <v>0</v>
      </c>
      <c r="J42" s="23">
        <v>12122</v>
      </c>
      <c r="K42" s="17">
        <v>14591</v>
      </c>
      <c r="L42" s="149" t="s">
        <v>311</v>
      </c>
      <c r="M42" s="148" t="s">
        <v>311</v>
      </c>
      <c r="N42" s="148" t="s">
        <v>311</v>
      </c>
      <c r="O42" s="148" t="s">
        <v>311</v>
      </c>
      <c r="P42" s="32">
        <f t="shared" si="1"/>
        <v>0</v>
      </c>
      <c r="Q42" s="32">
        <f t="shared" si="2"/>
        <v>0</v>
      </c>
      <c r="R42" s="116">
        <f t="shared" si="3"/>
        <v>0</v>
      </c>
      <c r="S42" s="20">
        <f t="shared" si="4"/>
        <v>46</v>
      </c>
      <c r="T42" s="138">
        <f t="shared" si="5"/>
        <v>46</v>
      </c>
      <c r="U42" s="13"/>
      <c r="V42" s="13"/>
      <c r="W42" s="13"/>
      <c r="X42" s="13"/>
      <c r="Y42" s="13"/>
      <c r="Z42" s="13"/>
      <c r="AA42" s="13"/>
      <c r="AB42" s="13"/>
      <c r="AC42" s="13"/>
      <c r="AD42" s="13"/>
      <c r="AE42" s="13"/>
      <c r="AF42" s="13"/>
      <c r="AG42" s="13"/>
      <c r="AH42" s="13"/>
      <c r="AI42" s="13"/>
      <c r="AJ42" s="13"/>
      <c r="AK42" s="13"/>
      <c r="AL42" s="13"/>
      <c r="AM42" s="13"/>
      <c r="AN42" s="13"/>
      <c r="AO42" s="13"/>
      <c r="AP42" s="13"/>
    </row>
    <row r="43" spans="1:42" x14ac:dyDescent="0.25">
      <c r="A43" s="2" t="s">
        <v>51</v>
      </c>
      <c r="B43" s="2" t="s">
        <v>52</v>
      </c>
      <c r="C43" s="146" t="s">
        <v>311</v>
      </c>
      <c r="D43" s="146" t="s">
        <v>311</v>
      </c>
      <c r="E43" s="146" t="s">
        <v>311</v>
      </c>
      <c r="F43" s="146" t="s">
        <v>311</v>
      </c>
      <c r="G43" s="146">
        <v>0</v>
      </c>
      <c r="H43" s="146">
        <v>0</v>
      </c>
      <c r="I43" s="147">
        <f t="shared" si="0"/>
        <v>0</v>
      </c>
      <c r="J43" s="118">
        <v>831</v>
      </c>
      <c r="K43" s="14">
        <v>40</v>
      </c>
      <c r="L43" s="147" t="s">
        <v>311</v>
      </c>
      <c r="M43" s="170" t="s">
        <v>311</v>
      </c>
      <c r="N43" s="146" t="s">
        <v>311</v>
      </c>
      <c r="O43" s="146" t="s">
        <v>311</v>
      </c>
      <c r="P43" s="31">
        <f t="shared" si="1"/>
        <v>0</v>
      </c>
      <c r="Q43" s="31">
        <f t="shared" si="2"/>
        <v>0</v>
      </c>
      <c r="R43" s="114">
        <f t="shared" si="3"/>
        <v>0</v>
      </c>
      <c r="S43" s="1">
        <f t="shared" si="4"/>
        <v>46</v>
      </c>
      <c r="T43" s="137">
        <f t="shared" si="5"/>
        <v>46</v>
      </c>
      <c r="U43" s="13"/>
      <c r="V43" s="13"/>
      <c r="W43" s="13"/>
      <c r="X43" s="13"/>
      <c r="Y43" s="13"/>
      <c r="Z43" s="13"/>
      <c r="AA43" s="13"/>
      <c r="AB43" s="13"/>
      <c r="AC43" s="13"/>
      <c r="AD43" s="13"/>
      <c r="AE43" s="13"/>
      <c r="AF43" s="13"/>
      <c r="AG43" s="13"/>
      <c r="AH43" s="13"/>
      <c r="AI43" s="13"/>
      <c r="AJ43" s="13"/>
      <c r="AK43" s="13"/>
      <c r="AL43" s="13"/>
      <c r="AM43" s="13"/>
      <c r="AN43" s="13"/>
      <c r="AO43" s="13"/>
      <c r="AP43" s="13"/>
    </row>
    <row r="44" spans="1:42" x14ac:dyDescent="0.25">
      <c r="A44" s="2" t="s">
        <v>51</v>
      </c>
      <c r="B44" s="2" t="s">
        <v>53</v>
      </c>
      <c r="C44" s="146" t="s">
        <v>311</v>
      </c>
      <c r="D44" s="146" t="s">
        <v>311</v>
      </c>
      <c r="E44" s="146" t="s">
        <v>311</v>
      </c>
      <c r="F44" s="146" t="s">
        <v>311</v>
      </c>
      <c r="G44" s="146">
        <v>0</v>
      </c>
      <c r="H44" s="146">
        <v>0</v>
      </c>
      <c r="I44" s="147">
        <f t="shared" si="0"/>
        <v>0</v>
      </c>
      <c r="J44" s="24">
        <v>3140</v>
      </c>
      <c r="K44" s="14">
        <v>115</v>
      </c>
      <c r="L44" s="147" t="s">
        <v>311</v>
      </c>
      <c r="M44" s="171" t="s">
        <v>311</v>
      </c>
      <c r="N44" s="146" t="s">
        <v>311</v>
      </c>
      <c r="O44" s="146" t="s">
        <v>311</v>
      </c>
      <c r="P44" s="31">
        <f t="shared" si="1"/>
        <v>0</v>
      </c>
      <c r="Q44" s="31">
        <f t="shared" si="2"/>
        <v>0</v>
      </c>
      <c r="R44" s="114">
        <f t="shared" si="3"/>
        <v>0</v>
      </c>
      <c r="S44" s="1">
        <f t="shared" si="4"/>
        <v>46</v>
      </c>
      <c r="T44" s="137">
        <f t="shared" si="5"/>
        <v>46</v>
      </c>
      <c r="U44" s="13"/>
      <c r="V44" s="13"/>
      <c r="W44" s="13"/>
      <c r="X44" s="13"/>
      <c r="Y44" s="13"/>
      <c r="Z44" s="13"/>
      <c r="AA44" s="13"/>
      <c r="AB44" s="13"/>
      <c r="AC44" s="13"/>
      <c r="AD44" s="13"/>
      <c r="AE44" s="13"/>
      <c r="AF44" s="13"/>
      <c r="AG44" s="13"/>
      <c r="AH44" s="13"/>
      <c r="AI44" s="13"/>
      <c r="AJ44" s="13"/>
      <c r="AK44" s="13"/>
      <c r="AL44" s="13"/>
      <c r="AM44" s="13"/>
      <c r="AN44" s="13"/>
      <c r="AO44" s="13"/>
      <c r="AP44" s="13"/>
    </row>
    <row r="45" spans="1:42" x14ac:dyDescent="0.25">
      <c r="A45" s="2" t="s">
        <v>51</v>
      </c>
      <c r="B45" s="2" t="s">
        <v>54</v>
      </c>
      <c r="C45" s="146">
        <v>14</v>
      </c>
      <c r="D45" s="146">
        <v>0</v>
      </c>
      <c r="E45" s="146">
        <v>2</v>
      </c>
      <c r="F45" s="146">
        <v>0</v>
      </c>
      <c r="G45" s="146">
        <v>0</v>
      </c>
      <c r="H45" s="146">
        <v>0</v>
      </c>
      <c r="I45" s="147">
        <f t="shared" si="0"/>
        <v>0</v>
      </c>
      <c r="J45" s="24">
        <v>2309</v>
      </c>
      <c r="K45" s="14">
        <v>311</v>
      </c>
      <c r="L45" s="33">
        <f t="shared" si="6"/>
        <v>6.0632308358596794E-3</v>
      </c>
      <c r="M45" s="171">
        <f t="shared" si="7"/>
        <v>0</v>
      </c>
      <c r="N45" s="31">
        <f t="shared" si="8"/>
        <v>8.661758336942399E-4</v>
      </c>
      <c r="O45" s="31">
        <f t="shared" si="9"/>
        <v>0</v>
      </c>
      <c r="P45" s="31">
        <f t="shared" si="1"/>
        <v>0</v>
      </c>
      <c r="Q45" s="31">
        <f t="shared" si="2"/>
        <v>0</v>
      </c>
      <c r="R45" s="114">
        <f t="shared" si="3"/>
        <v>0</v>
      </c>
      <c r="S45" s="1">
        <f t="shared" si="4"/>
        <v>46</v>
      </c>
      <c r="T45" s="137">
        <f t="shared" si="5"/>
        <v>46</v>
      </c>
      <c r="U45" s="13"/>
      <c r="V45" s="13"/>
      <c r="W45" s="13"/>
      <c r="X45" s="13"/>
      <c r="Y45" s="13"/>
      <c r="Z45" s="13"/>
      <c r="AA45" s="13"/>
      <c r="AB45" s="13"/>
      <c r="AC45" s="13"/>
      <c r="AD45" s="13"/>
      <c r="AE45" s="13"/>
      <c r="AF45" s="13"/>
      <c r="AG45" s="13"/>
      <c r="AH45" s="13"/>
      <c r="AI45" s="13"/>
      <c r="AJ45" s="13"/>
      <c r="AK45" s="13"/>
      <c r="AL45" s="13"/>
      <c r="AM45" s="13"/>
      <c r="AN45" s="13"/>
      <c r="AO45" s="13"/>
      <c r="AP45" s="13"/>
    </row>
    <row r="46" spans="1:42" x14ac:dyDescent="0.25">
      <c r="A46" s="2" t="s">
        <v>51</v>
      </c>
      <c r="B46" s="2" t="s">
        <v>55</v>
      </c>
      <c r="C46" s="146" t="s">
        <v>311</v>
      </c>
      <c r="D46" s="146" t="s">
        <v>311</v>
      </c>
      <c r="E46" s="146" t="s">
        <v>311</v>
      </c>
      <c r="F46" s="146" t="s">
        <v>311</v>
      </c>
      <c r="G46" s="146">
        <v>4</v>
      </c>
      <c r="H46" s="146">
        <v>0</v>
      </c>
      <c r="I46" s="147">
        <f t="shared" si="0"/>
        <v>4</v>
      </c>
      <c r="J46" s="24">
        <v>3669</v>
      </c>
      <c r="K46" s="14">
        <v>200</v>
      </c>
      <c r="L46" s="147" t="s">
        <v>311</v>
      </c>
      <c r="M46" s="170" t="s">
        <v>311</v>
      </c>
      <c r="N46" s="146" t="s">
        <v>311</v>
      </c>
      <c r="O46" s="146" t="s">
        <v>311</v>
      </c>
      <c r="P46" s="31">
        <f t="shared" si="1"/>
        <v>1.0902153175252113E-3</v>
      </c>
      <c r="Q46" s="31">
        <f t="shared" si="2"/>
        <v>0</v>
      </c>
      <c r="R46" s="114">
        <f t="shared" si="3"/>
        <v>1.0338588782631171E-3</v>
      </c>
      <c r="S46" s="1">
        <f t="shared" si="4"/>
        <v>40</v>
      </c>
      <c r="T46" s="137">
        <f t="shared" si="5"/>
        <v>38</v>
      </c>
      <c r="U46" s="13"/>
      <c r="V46" s="13"/>
      <c r="W46" s="13"/>
      <c r="X46" s="13"/>
      <c r="Y46" s="13"/>
      <c r="Z46" s="13"/>
      <c r="AA46" s="13"/>
      <c r="AB46" s="13"/>
      <c r="AC46" s="13"/>
      <c r="AD46" s="13"/>
      <c r="AE46" s="13"/>
      <c r="AF46" s="13"/>
      <c r="AG46" s="13"/>
      <c r="AH46" s="13"/>
      <c r="AI46" s="13"/>
      <c r="AJ46" s="13"/>
      <c r="AK46" s="13"/>
      <c r="AL46" s="13"/>
      <c r="AM46" s="13"/>
      <c r="AN46" s="13"/>
      <c r="AO46" s="13"/>
      <c r="AP46" s="13"/>
    </row>
    <row r="47" spans="1:42" x14ac:dyDescent="0.25">
      <c r="A47" s="2" t="s">
        <v>51</v>
      </c>
      <c r="B47" s="2" t="s">
        <v>56</v>
      </c>
      <c r="C47" s="146">
        <v>0</v>
      </c>
      <c r="D47" s="146">
        <v>0</v>
      </c>
      <c r="E47" s="146">
        <v>2</v>
      </c>
      <c r="F47" s="146">
        <v>3</v>
      </c>
      <c r="G47" s="146">
        <v>1615</v>
      </c>
      <c r="H47" s="146">
        <v>129</v>
      </c>
      <c r="I47" s="147">
        <f t="shared" si="0"/>
        <v>1744</v>
      </c>
      <c r="J47" s="24">
        <v>4552</v>
      </c>
      <c r="K47" s="14">
        <v>419</v>
      </c>
      <c r="L47" s="172">
        <f>C47/J47</f>
        <v>0</v>
      </c>
      <c r="M47" s="173">
        <f>D47/K47</f>
        <v>0</v>
      </c>
      <c r="N47" s="31">
        <f t="shared" si="8"/>
        <v>4.3936731107205621E-4</v>
      </c>
      <c r="O47" s="31">
        <f t="shared" si="9"/>
        <v>7.1599045346062056E-3</v>
      </c>
      <c r="P47" s="31">
        <f t="shared" si="1"/>
        <v>0.35478910369068539</v>
      </c>
      <c r="Q47" s="31">
        <f t="shared" si="2"/>
        <v>0.30787589498806683</v>
      </c>
      <c r="R47" s="114">
        <f t="shared" si="3"/>
        <v>0.35083484208408772</v>
      </c>
      <c r="S47" s="1">
        <f t="shared" si="4"/>
        <v>14</v>
      </c>
      <c r="T47" s="137">
        <f t="shared" si="5"/>
        <v>1</v>
      </c>
      <c r="U47" s="13"/>
      <c r="V47" s="13"/>
      <c r="W47" s="13"/>
      <c r="X47" s="13"/>
      <c r="Y47" s="13"/>
      <c r="Z47" s="13"/>
      <c r="AA47" s="13"/>
      <c r="AB47" s="13"/>
      <c r="AC47" s="13"/>
      <c r="AD47" s="13"/>
      <c r="AE47" s="13"/>
      <c r="AF47" s="13"/>
      <c r="AG47" s="13"/>
      <c r="AH47" s="13"/>
      <c r="AI47" s="13"/>
      <c r="AJ47" s="13"/>
      <c r="AK47" s="13"/>
      <c r="AL47" s="13"/>
      <c r="AM47" s="13"/>
      <c r="AN47" s="13"/>
      <c r="AO47" s="13"/>
      <c r="AP47" s="13"/>
    </row>
    <row r="48" spans="1:42" x14ac:dyDescent="0.25">
      <c r="A48" s="2" t="s">
        <v>51</v>
      </c>
      <c r="B48" s="2" t="s">
        <v>57</v>
      </c>
      <c r="C48" s="146">
        <v>6</v>
      </c>
      <c r="D48" s="146">
        <v>0</v>
      </c>
      <c r="E48" s="146">
        <v>7</v>
      </c>
      <c r="F48" s="146">
        <v>0</v>
      </c>
      <c r="G48" s="146">
        <v>3</v>
      </c>
      <c r="H48" s="146">
        <v>0</v>
      </c>
      <c r="I48" s="147">
        <f t="shared" si="0"/>
        <v>3</v>
      </c>
      <c r="J48" s="24">
        <v>16085</v>
      </c>
      <c r="K48" s="14">
        <v>402</v>
      </c>
      <c r="L48" s="33">
        <f t="shared" si="6"/>
        <v>3.7301834006838667E-4</v>
      </c>
      <c r="M48" s="171">
        <f t="shared" si="7"/>
        <v>0</v>
      </c>
      <c r="N48" s="31">
        <f t="shared" si="8"/>
        <v>4.3518806341311784E-4</v>
      </c>
      <c r="O48" s="31">
        <f t="shared" si="9"/>
        <v>0</v>
      </c>
      <c r="P48" s="31">
        <f t="shared" si="1"/>
        <v>1.8650917003419334E-4</v>
      </c>
      <c r="Q48" s="31">
        <f t="shared" si="2"/>
        <v>0</v>
      </c>
      <c r="R48" s="114">
        <f t="shared" si="3"/>
        <v>1.8196154546005943E-4</v>
      </c>
      <c r="S48" s="1">
        <f t="shared" si="4"/>
        <v>42</v>
      </c>
      <c r="T48" s="137">
        <f t="shared" si="5"/>
        <v>42</v>
      </c>
      <c r="U48" s="13"/>
      <c r="V48" s="13"/>
      <c r="W48" s="13"/>
      <c r="X48" s="13"/>
      <c r="Y48" s="13"/>
      <c r="Z48" s="13"/>
      <c r="AA48" s="13"/>
      <c r="AB48" s="13"/>
      <c r="AC48" s="13"/>
      <c r="AD48" s="13"/>
      <c r="AE48" s="13"/>
      <c r="AF48" s="13"/>
      <c r="AG48" s="13"/>
      <c r="AH48" s="13"/>
      <c r="AI48" s="13"/>
      <c r="AJ48" s="13"/>
      <c r="AK48" s="13"/>
      <c r="AL48" s="13"/>
      <c r="AM48" s="13"/>
      <c r="AN48" s="13"/>
      <c r="AO48" s="13"/>
      <c r="AP48" s="13"/>
    </row>
    <row r="49" spans="1:42" x14ac:dyDescent="0.25">
      <c r="A49" s="2" t="s">
        <v>51</v>
      </c>
      <c r="B49" s="2" t="s">
        <v>58</v>
      </c>
      <c r="C49" s="146">
        <v>0</v>
      </c>
      <c r="D49" s="146">
        <v>0</v>
      </c>
      <c r="E49" s="146">
        <v>2</v>
      </c>
      <c r="F49" s="146">
        <v>0</v>
      </c>
      <c r="G49" s="146">
        <v>0</v>
      </c>
      <c r="H49" s="146">
        <v>0</v>
      </c>
      <c r="I49" s="147">
        <f t="shared" si="0"/>
        <v>0</v>
      </c>
      <c r="J49" s="24">
        <v>793</v>
      </c>
      <c r="K49" s="14">
        <v>19</v>
      </c>
      <c r="L49" s="33">
        <f t="shared" si="6"/>
        <v>0</v>
      </c>
      <c r="M49" s="171">
        <f t="shared" si="7"/>
        <v>0</v>
      </c>
      <c r="N49" s="31">
        <f t="shared" si="8"/>
        <v>2.5220680958385876E-3</v>
      </c>
      <c r="O49" s="31">
        <f t="shared" si="9"/>
        <v>0</v>
      </c>
      <c r="P49" s="31">
        <f t="shared" si="1"/>
        <v>0</v>
      </c>
      <c r="Q49" s="31">
        <f t="shared" si="2"/>
        <v>0</v>
      </c>
      <c r="R49" s="114">
        <f t="shared" si="3"/>
        <v>0</v>
      </c>
      <c r="S49" s="1">
        <f t="shared" si="4"/>
        <v>46</v>
      </c>
      <c r="T49" s="137">
        <f t="shared" si="5"/>
        <v>46</v>
      </c>
      <c r="U49" s="13"/>
      <c r="V49" s="13"/>
      <c r="W49" s="13"/>
      <c r="X49" s="13"/>
      <c r="Y49" s="13"/>
      <c r="Z49" s="13"/>
      <c r="AA49" s="13"/>
      <c r="AB49" s="13"/>
      <c r="AC49" s="13"/>
      <c r="AD49" s="13"/>
      <c r="AE49" s="13"/>
      <c r="AF49" s="13"/>
      <c r="AG49" s="13"/>
      <c r="AH49" s="13"/>
      <c r="AI49" s="13"/>
      <c r="AJ49" s="13"/>
      <c r="AK49" s="13"/>
      <c r="AL49" s="13"/>
      <c r="AM49" s="13"/>
      <c r="AN49" s="13"/>
      <c r="AO49" s="13"/>
      <c r="AP49" s="13"/>
    </row>
    <row r="50" spans="1:42" x14ac:dyDescent="0.25">
      <c r="A50" s="2" t="s">
        <v>51</v>
      </c>
      <c r="B50" s="2" t="s">
        <v>59</v>
      </c>
      <c r="C50" s="146">
        <v>4</v>
      </c>
      <c r="D50" s="146">
        <v>0</v>
      </c>
      <c r="E50" s="146">
        <v>0</v>
      </c>
      <c r="F50" s="146">
        <v>0</v>
      </c>
      <c r="G50" s="146">
        <v>0</v>
      </c>
      <c r="H50" s="146">
        <v>0</v>
      </c>
      <c r="I50" s="147">
        <f t="shared" si="0"/>
        <v>0</v>
      </c>
      <c r="J50" s="24">
        <v>3967</v>
      </c>
      <c r="K50" s="14">
        <v>324</v>
      </c>
      <c r="L50" s="33">
        <f t="shared" si="6"/>
        <v>1.008318628686665E-3</v>
      </c>
      <c r="M50" s="171">
        <f t="shared" si="7"/>
        <v>0</v>
      </c>
      <c r="N50" s="31">
        <f t="shared" si="8"/>
        <v>0</v>
      </c>
      <c r="O50" s="31">
        <f t="shared" si="9"/>
        <v>0</v>
      </c>
      <c r="P50" s="31">
        <f t="shared" si="1"/>
        <v>0</v>
      </c>
      <c r="Q50" s="31">
        <f t="shared" si="2"/>
        <v>0</v>
      </c>
      <c r="R50" s="114">
        <f t="shared" si="3"/>
        <v>0</v>
      </c>
      <c r="S50" s="1">
        <f t="shared" si="4"/>
        <v>46</v>
      </c>
      <c r="T50" s="137">
        <f t="shared" si="5"/>
        <v>46</v>
      </c>
      <c r="U50" s="13"/>
      <c r="V50" s="13"/>
      <c r="W50" s="13"/>
      <c r="X50" s="13"/>
      <c r="Y50" s="13"/>
      <c r="Z50" s="13"/>
      <c r="AA50" s="13"/>
      <c r="AB50" s="13"/>
      <c r="AC50" s="13"/>
      <c r="AD50" s="13"/>
      <c r="AE50" s="13"/>
      <c r="AF50" s="13"/>
      <c r="AG50" s="13"/>
      <c r="AH50" s="13"/>
      <c r="AI50" s="13"/>
      <c r="AJ50" s="13"/>
      <c r="AK50" s="13"/>
      <c r="AL50" s="13"/>
      <c r="AM50" s="13"/>
      <c r="AN50" s="13"/>
      <c r="AO50" s="13"/>
      <c r="AP50" s="13"/>
    </row>
    <row r="51" spans="1:42" x14ac:dyDescent="0.25">
      <c r="A51" s="2" t="s">
        <v>51</v>
      </c>
      <c r="B51" s="2" t="s">
        <v>60</v>
      </c>
      <c r="C51" s="146">
        <v>6</v>
      </c>
      <c r="D51" s="146">
        <v>0</v>
      </c>
      <c r="E51" s="146">
        <v>0</v>
      </c>
      <c r="F51" s="146">
        <v>0</v>
      </c>
      <c r="G51" s="146">
        <v>0</v>
      </c>
      <c r="H51" s="146">
        <v>0</v>
      </c>
      <c r="I51" s="147">
        <f t="shared" si="0"/>
        <v>0</v>
      </c>
      <c r="J51" s="24">
        <v>13767</v>
      </c>
      <c r="K51" s="14">
        <v>1148</v>
      </c>
      <c r="L51" s="33">
        <f t="shared" si="6"/>
        <v>4.3582479843103073E-4</v>
      </c>
      <c r="M51" s="171">
        <f t="shared" si="7"/>
        <v>0</v>
      </c>
      <c r="N51" s="31">
        <f t="shared" si="8"/>
        <v>0</v>
      </c>
      <c r="O51" s="31">
        <f t="shared" si="9"/>
        <v>0</v>
      </c>
      <c r="P51" s="31">
        <f t="shared" si="1"/>
        <v>0</v>
      </c>
      <c r="Q51" s="31">
        <f t="shared" si="2"/>
        <v>0</v>
      </c>
      <c r="R51" s="114">
        <f t="shared" si="3"/>
        <v>0</v>
      </c>
      <c r="S51" s="1">
        <f t="shared" si="4"/>
        <v>46</v>
      </c>
      <c r="T51" s="137">
        <f t="shared" si="5"/>
        <v>46</v>
      </c>
      <c r="U51" s="13"/>
      <c r="V51" s="13"/>
      <c r="W51" s="13"/>
      <c r="X51" s="13"/>
      <c r="Y51" s="13"/>
      <c r="Z51" s="13"/>
      <c r="AA51" s="13"/>
      <c r="AB51" s="13"/>
      <c r="AC51" s="13"/>
      <c r="AD51" s="13"/>
      <c r="AE51" s="13"/>
      <c r="AF51" s="13"/>
      <c r="AG51" s="13"/>
      <c r="AH51" s="13"/>
      <c r="AI51" s="13"/>
      <c r="AJ51" s="13"/>
      <c r="AK51" s="13"/>
      <c r="AL51" s="13"/>
      <c r="AM51" s="13"/>
      <c r="AN51" s="13"/>
      <c r="AO51" s="13"/>
      <c r="AP51" s="13"/>
    </row>
    <row r="52" spans="1:42" x14ac:dyDescent="0.25">
      <c r="A52" s="2" t="s">
        <v>51</v>
      </c>
      <c r="B52" s="2" t="s">
        <v>61</v>
      </c>
      <c r="C52" s="146" t="s">
        <v>311</v>
      </c>
      <c r="D52" s="146" t="s">
        <v>311</v>
      </c>
      <c r="E52" s="146" t="s">
        <v>311</v>
      </c>
      <c r="F52" s="146" t="s">
        <v>311</v>
      </c>
      <c r="G52" s="146">
        <v>0</v>
      </c>
      <c r="H52" s="146">
        <v>0</v>
      </c>
      <c r="I52" s="147">
        <f t="shared" si="0"/>
        <v>0</v>
      </c>
      <c r="J52" s="24">
        <v>2168</v>
      </c>
      <c r="K52" s="14">
        <v>644</v>
      </c>
      <c r="L52" s="147" t="s">
        <v>311</v>
      </c>
      <c r="M52" s="170" t="s">
        <v>311</v>
      </c>
      <c r="N52" s="146" t="s">
        <v>311</v>
      </c>
      <c r="O52" s="146" t="s">
        <v>311</v>
      </c>
      <c r="P52" s="31">
        <f t="shared" si="1"/>
        <v>0</v>
      </c>
      <c r="Q52" s="31">
        <f t="shared" si="2"/>
        <v>0</v>
      </c>
      <c r="R52" s="114">
        <f t="shared" si="3"/>
        <v>0</v>
      </c>
      <c r="S52" s="1">
        <f t="shared" si="4"/>
        <v>46</v>
      </c>
      <c r="T52" s="137">
        <f t="shared" si="5"/>
        <v>46</v>
      </c>
      <c r="U52" s="13"/>
      <c r="V52" s="13"/>
      <c r="W52" s="13"/>
      <c r="X52" s="13"/>
      <c r="Y52" s="13"/>
      <c r="Z52" s="13"/>
      <c r="AA52" s="13"/>
      <c r="AB52" s="13"/>
      <c r="AC52" s="13"/>
      <c r="AD52" s="13"/>
      <c r="AE52" s="13"/>
      <c r="AF52" s="13"/>
      <c r="AG52" s="13"/>
      <c r="AH52" s="13"/>
      <c r="AI52" s="13"/>
      <c r="AJ52" s="13"/>
      <c r="AK52" s="13"/>
      <c r="AL52" s="13"/>
      <c r="AM52" s="13"/>
      <c r="AN52" s="13"/>
      <c r="AO52" s="13"/>
      <c r="AP52" s="13"/>
    </row>
    <row r="53" spans="1:42" x14ac:dyDescent="0.25">
      <c r="A53" s="2" t="s">
        <v>51</v>
      </c>
      <c r="B53" s="2" t="s">
        <v>62</v>
      </c>
      <c r="C53" s="146">
        <v>1</v>
      </c>
      <c r="D53" s="146">
        <v>0</v>
      </c>
      <c r="E53" s="146">
        <v>0</v>
      </c>
      <c r="F53" s="146">
        <v>0</v>
      </c>
      <c r="G53" s="146">
        <v>0</v>
      </c>
      <c r="H53" s="146">
        <v>0</v>
      </c>
      <c r="I53" s="147">
        <f t="shared" si="0"/>
        <v>0</v>
      </c>
      <c r="J53" s="24">
        <v>2992</v>
      </c>
      <c r="K53" s="14">
        <v>230</v>
      </c>
      <c r="L53" s="33">
        <f t="shared" si="6"/>
        <v>3.3422459893048126E-4</v>
      </c>
      <c r="M53" s="171">
        <f t="shared" si="7"/>
        <v>0</v>
      </c>
      <c r="N53" s="31">
        <f t="shared" si="8"/>
        <v>0</v>
      </c>
      <c r="O53" s="31">
        <f t="shared" si="9"/>
        <v>0</v>
      </c>
      <c r="P53" s="31">
        <f t="shared" si="1"/>
        <v>0</v>
      </c>
      <c r="Q53" s="31">
        <f t="shared" si="2"/>
        <v>0</v>
      </c>
      <c r="R53" s="114">
        <f t="shared" si="3"/>
        <v>0</v>
      </c>
      <c r="S53" s="1">
        <f t="shared" si="4"/>
        <v>46</v>
      </c>
      <c r="T53" s="137">
        <f t="shared" si="5"/>
        <v>46</v>
      </c>
      <c r="U53" s="13"/>
      <c r="V53" s="13"/>
      <c r="W53" s="13"/>
      <c r="X53" s="13"/>
      <c r="Y53" s="13"/>
      <c r="Z53" s="13"/>
      <c r="AA53" s="13"/>
      <c r="AB53" s="13"/>
      <c r="AC53" s="13"/>
      <c r="AD53" s="13"/>
      <c r="AE53" s="13"/>
      <c r="AF53" s="13"/>
      <c r="AG53" s="13"/>
      <c r="AH53" s="13"/>
      <c r="AI53" s="13"/>
      <c r="AJ53" s="13"/>
      <c r="AK53" s="13"/>
      <c r="AL53" s="13"/>
      <c r="AM53" s="13"/>
      <c r="AN53" s="13"/>
      <c r="AO53" s="13"/>
      <c r="AP53" s="13"/>
    </row>
    <row r="54" spans="1:42" s="15" customFormat="1" x14ac:dyDescent="0.25">
      <c r="A54" s="15" t="s">
        <v>51</v>
      </c>
      <c r="B54" s="15" t="s">
        <v>63</v>
      </c>
      <c r="C54" s="148">
        <v>5506</v>
      </c>
      <c r="D54" s="148">
        <v>252</v>
      </c>
      <c r="E54" s="148">
        <v>3233</v>
      </c>
      <c r="F54" s="148">
        <v>182</v>
      </c>
      <c r="G54" s="148">
        <v>2947</v>
      </c>
      <c r="H54" s="148">
        <v>151</v>
      </c>
      <c r="I54" s="149">
        <f t="shared" si="0"/>
        <v>3098</v>
      </c>
      <c r="J54" s="25">
        <v>21122</v>
      </c>
      <c r="K54" s="18">
        <v>991</v>
      </c>
      <c r="L54" s="34">
        <f t="shared" si="6"/>
        <v>0.26067607234163431</v>
      </c>
      <c r="M54" s="32">
        <f t="shared" si="7"/>
        <v>0.25428859737638748</v>
      </c>
      <c r="N54" s="32">
        <f t="shared" si="8"/>
        <v>0.15306315689802102</v>
      </c>
      <c r="O54" s="32">
        <f t="shared" si="9"/>
        <v>0.18365287588294651</v>
      </c>
      <c r="P54" s="32">
        <f t="shared" si="1"/>
        <v>0.13952277246472872</v>
      </c>
      <c r="Q54" s="32">
        <f t="shared" si="2"/>
        <v>0.15237134207870837</v>
      </c>
      <c r="R54" s="116">
        <f t="shared" si="3"/>
        <v>0.14009858454302898</v>
      </c>
      <c r="S54" s="20">
        <f t="shared" si="4"/>
        <v>5</v>
      </c>
      <c r="T54" s="138">
        <f t="shared" si="5"/>
        <v>17</v>
      </c>
      <c r="U54" s="13"/>
      <c r="V54" s="13"/>
      <c r="W54" s="13"/>
      <c r="X54" s="13"/>
      <c r="Y54" s="13"/>
      <c r="Z54" s="13"/>
      <c r="AA54" s="13"/>
      <c r="AB54" s="13"/>
      <c r="AC54" s="13"/>
      <c r="AD54" s="13"/>
      <c r="AE54" s="13"/>
      <c r="AF54" s="13"/>
      <c r="AG54" s="13"/>
      <c r="AH54" s="13"/>
      <c r="AI54" s="13"/>
      <c r="AJ54" s="13"/>
      <c r="AK54" s="13"/>
      <c r="AL54" s="13"/>
      <c r="AM54" s="13"/>
      <c r="AN54" s="13"/>
      <c r="AO54" s="13"/>
      <c r="AP54" s="13"/>
    </row>
    <row r="55" spans="1:42" x14ac:dyDescent="0.25">
      <c r="A55" s="2" t="s">
        <v>64</v>
      </c>
      <c r="B55" s="2" t="s">
        <v>65</v>
      </c>
      <c r="C55" s="146">
        <v>1</v>
      </c>
      <c r="D55" s="146">
        <v>0</v>
      </c>
      <c r="E55" s="146">
        <v>1</v>
      </c>
      <c r="F55" s="146">
        <v>0</v>
      </c>
      <c r="G55" s="146">
        <v>0</v>
      </c>
      <c r="H55" s="146">
        <v>0</v>
      </c>
      <c r="I55" s="147">
        <f t="shared" si="0"/>
        <v>0</v>
      </c>
      <c r="J55" s="24">
        <v>4784</v>
      </c>
      <c r="K55" s="14">
        <v>25</v>
      </c>
      <c r="L55" s="33">
        <f t="shared" si="6"/>
        <v>2.0903010033444816E-4</v>
      </c>
      <c r="M55" s="171">
        <f t="shared" si="7"/>
        <v>0</v>
      </c>
      <c r="N55" s="31">
        <f t="shared" si="8"/>
        <v>2.0903010033444816E-4</v>
      </c>
      <c r="O55" s="31">
        <f t="shared" si="9"/>
        <v>0</v>
      </c>
      <c r="P55" s="31">
        <f t="shared" si="1"/>
        <v>0</v>
      </c>
      <c r="Q55" s="31">
        <f t="shared" si="2"/>
        <v>0</v>
      </c>
      <c r="R55" s="114">
        <f t="shared" si="3"/>
        <v>0</v>
      </c>
      <c r="S55" s="1">
        <f t="shared" si="4"/>
        <v>46</v>
      </c>
      <c r="T55" s="137">
        <f t="shared" si="5"/>
        <v>46</v>
      </c>
      <c r="U55" s="13"/>
      <c r="V55" s="13"/>
      <c r="W55" s="13"/>
      <c r="X55" s="13"/>
      <c r="Y55" s="13"/>
      <c r="Z55" s="13"/>
      <c r="AA55" s="13"/>
      <c r="AB55" s="13"/>
      <c r="AC55" s="13"/>
      <c r="AD55" s="13"/>
      <c r="AE55" s="13"/>
      <c r="AF55" s="13"/>
      <c r="AG55" s="13"/>
      <c r="AH55" s="13"/>
      <c r="AI55" s="13"/>
      <c r="AJ55" s="13"/>
      <c r="AK55" s="13"/>
      <c r="AL55" s="13"/>
      <c r="AM55" s="13"/>
      <c r="AN55" s="13"/>
      <c r="AO55" s="13"/>
      <c r="AP55" s="13"/>
    </row>
    <row r="56" spans="1:42" x14ac:dyDescent="0.25">
      <c r="A56" s="2" t="s">
        <v>64</v>
      </c>
      <c r="B56" s="2" t="s">
        <v>129</v>
      </c>
      <c r="C56" s="146">
        <v>1</v>
      </c>
      <c r="D56" s="146">
        <v>0</v>
      </c>
      <c r="E56" s="146">
        <v>5</v>
      </c>
      <c r="F56" s="146">
        <v>0</v>
      </c>
      <c r="G56" s="146">
        <v>95</v>
      </c>
      <c r="H56" s="146">
        <v>7</v>
      </c>
      <c r="I56" s="147">
        <f t="shared" si="0"/>
        <v>102</v>
      </c>
      <c r="J56" s="24">
        <v>1080</v>
      </c>
      <c r="K56" s="14">
        <v>180</v>
      </c>
      <c r="L56" s="33">
        <f t="shared" si="6"/>
        <v>9.2592592592592596E-4</v>
      </c>
      <c r="M56" s="171">
        <f t="shared" si="7"/>
        <v>0</v>
      </c>
      <c r="N56" s="31">
        <f t="shared" si="8"/>
        <v>4.6296296296296294E-3</v>
      </c>
      <c r="O56" s="31">
        <f t="shared" si="9"/>
        <v>0</v>
      </c>
      <c r="P56" s="31">
        <f t="shared" si="1"/>
        <v>8.7962962962962965E-2</v>
      </c>
      <c r="Q56" s="31">
        <f t="shared" si="2"/>
        <v>3.888888888888889E-2</v>
      </c>
      <c r="R56" s="114">
        <f t="shared" si="3"/>
        <v>8.0952380952380956E-2</v>
      </c>
      <c r="S56" s="1">
        <f t="shared" si="4"/>
        <v>33</v>
      </c>
      <c r="T56" s="137">
        <f t="shared" si="5"/>
        <v>21</v>
      </c>
      <c r="U56" s="13"/>
      <c r="V56" s="13"/>
      <c r="W56" s="13"/>
      <c r="X56" s="13"/>
      <c r="Y56" s="13"/>
      <c r="Z56" s="13"/>
      <c r="AA56" s="13"/>
      <c r="AB56" s="13"/>
      <c r="AC56" s="13"/>
      <c r="AD56" s="13"/>
      <c r="AE56" s="13"/>
      <c r="AF56" s="13"/>
      <c r="AG56" s="13"/>
      <c r="AH56" s="13"/>
      <c r="AI56" s="13"/>
      <c r="AJ56" s="13"/>
      <c r="AK56" s="13"/>
      <c r="AL56" s="13"/>
      <c r="AM56" s="13"/>
      <c r="AN56" s="13"/>
      <c r="AO56" s="13"/>
      <c r="AP56" s="13"/>
    </row>
    <row r="57" spans="1:42" x14ac:dyDescent="0.25">
      <c r="A57" s="2" t="s">
        <v>64</v>
      </c>
      <c r="B57" s="2" t="s">
        <v>64</v>
      </c>
      <c r="C57" s="146">
        <v>4</v>
      </c>
      <c r="D57" s="146">
        <v>1</v>
      </c>
      <c r="E57" s="146">
        <v>0</v>
      </c>
      <c r="F57" s="146">
        <v>0</v>
      </c>
      <c r="G57" s="146">
        <v>0</v>
      </c>
      <c r="H57" s="146">
        <v>0</v>
      </c>
      <c r="I57" s="147">
        <f t="shared" si="0"/>
        <v>0</v>
      </c>
      <c r="J57" s="24">
        <v>17788</v>
      </c>
      <c r="K57" s="14">
        <v>3713</v>
      </c>
      <c r="L57" s="33">
        <f t="shared" si="6"/>
        <v>2.2487069934787497E-4</v>
      </c>
      <c r="M57" s="171">
        <f t="shared" si="7"/>
        <v>2.6932399676811203E-4</v>
      </c>
      <c r="N57" s="31">
        <f t="shared" si="8"/>
        <v>0</v>
      </c>
      <c r="O57" s="31">
        <f t="shared" si="9"/>
        <v>0</v>
      </c>
      <c r="P57" s="31">
        <f t="shared" si="1"/>
        <v>0</v>
      </c>
      <c r="Q57" s="31">
        <f t="shared" si="2"/>
        <v>0</v>
      </c>
      <c r="R57" s="114">
        <f t="shared" si="3"/>
        <v>0</v>
      </c>
      <c r="S57" s="1">
        <f t="shared" si="4"/>
        <v>46</v>
      </c>
      <c r="T57" s="137">
        <f t="shared" si="5"/>
        <v>46</v>
      </c>
      <c r="U57" s="13"/>
      <c r="V57" s="13"/>
      <c r="W57" s="13"/>
      <c r="X57" s="13"/>
      <c r="Y57" s="13"/>
      <c r="Z57" s="13"/>
      <c r="AA57" s="13"/>
      <c r="AB57" s="13"/>
      <c r="AC57" s="13"/>
      <c r="AD57" s="13"/>
      <c r="AE57" s="13"/>
      <c r="AF57" s="13"/>
      <c r="AG57" s="13"/>
      <c r="AH57" s="13"/>
      <c r="AI57" s="13"/>
      <c r="AJ57" s="13"/>
      <c r="AK57" s="13"/>
      <c r="AL57" s="13"/>
      <c r="AM57" s="13"/>
      <c r="AN57" s="13"/>
      <c r="AO57" s="13"/>
      <c r="AP57" s="13"/>
    </row>
    <row r="58" spans="1:42" x14ac:dyDescent="0.25">
      <c r="A58" s="2" t="s">
        <v>64</v>
      </c>
      <c r="B58" s="2" t="s">
        <v>130</v>
      </c>
      <c r="C58" s="146" t="s">
        <v>311</v>
      </c>
      <c r="D58" s="146" t="s">
        <v>311</v>
      </c>
      <c r="E58" s="146" t="s">
        <v>311</v>
      </c>
      <c r="F58" s="146" t="s">
        <v>311</v>
      </c>
      <c r="G58" s="146">
        <v>1</v>
      </c>
      <c r="H58" s="146">
        <v>0</v>
      </c>
      <c r="I58" s="147">
        <f t="shared" si="0"/>
        <v>1</v>
      </c>
      <c r="J58" s="24">
        <v>1578</v>
      </c>
      <c r="K58" s="14">
        <v>297</v>
      </c>
      <c r="L58" s="147" t="s">
        <v>311</v>
      </c>
      <c r="M58" s="170" t="s">
        <v>311</v>
      </c>
      <c r="N58" s="146" t="s">
        <v>311</v>
      </c>
      <c r="O58" s="146" t="s">
        <v>311</v>
      </c>
      <c r="P58" s="31">
        <f t="shared" si="1"/>
        <v>6.3371356147021542E-4</v>
      </c>
      <c r="Q58" s="31">
        <f t="shared" si="2"/>
        <v>0</v>
      </c>
      <c r="R58" s="114">
        <f t="shared" si="3"/>
        <v>5.3333333333333336E-4</v>
      </c>
      <c r="S58" s="1">
        <f t="shared" si="4"/>
        <v>43</v>
      </c>
      <c r="T58" s="137">
        <f t="shared" si="5"/>
        <v>39</v>
      </c>
      <c r="U58" s="13"/>
      <c r="V58" s="13"/>
      <c r="W58" s="13"/>
      <c r="X58" s="13"/>
      <c r="Y58" s="13"/>
      <c r="Z58" s="13"/>
      <c r="AA58" s="13"/>
      <c r="AB58" s="13"/>
      <c r="AC58" s="13"/>
      <c r="AD58" s="13"/>
      <c r="AE58" s="13"/>
      <c r="AF58" s="13"/>
      <c r="AG58" s="13"/>
      <c r="AH58" s="13"/>
      <c r="AI58" s="13"/>
      <c r="AJ58" s="13"/>
      <c r="AK58" s="13"/>
      <c r="AL58" s="13"/>
      <c r="AM58" s="13"/>
      <c r="AN58" s="13"/>
      <c r="AO58" s="13"/>
      <c r="AP58" s="13"/>
    </row>
    <row r="59" spans="1:42" x14ac:dyDescent="0.25">
      <c r="A59" s="2" t="s">
        <v>64</v>
      </c>
      <c r="B59" s="2" t="s">
        <v>66</v>
      </c>
      <c r="C59" s="146">
        <v>2096</v>
      </c>
      <c r="D59" s="146">
        <v>37</v>
      </c>
      <c r="E59" s="146">
        <v>543</v>
      </c>
      <c r="F59" s="146">
        <v>13</v>
      </c>
      <c r="G59" s="146">
        <v>2404</v>
      </c>
      <c r="H59" s="146">
        <v>311</v>
      </c>
      <c r="I59" s="147">
        <f t="shared" si="0"/>
        <v>2715</v>
      </c>
      <c r="J59" s="24">
        <v>8486</v>
      </c>
      <c r="K59" s="14">
        <v>808</v>
      </c>
      <c r="L59" s="33">
        <f t="shared" si="6"/>
        <v>0.24699505067169455</v>
      </c>
      <c r="M59" s="171">
        <f t="shared" si="7"/>
        <v>4.5792079207920791E-2</v>
      </c>
      <c r="N59" s="31">
        <f t="shared" si="8"/>
        <v>6.3987744520386525E-2</v>
      </c>
      <c r="O59" s="31">
        <f t="shared" si="9"/>
        <v>1.608910891089109E-2</v>
      </c>
      <c r="P59" s="31">
        <f t="shared" si="1"/>
        <v>0.28329012491161915</v>
      </c>
      <c r="Q59" s="31">
        <f t="shared" si="2"/>
        <v>0.38490099009900991</v>
      </c>
      <c r="R59" s="114">
        <f t="shared" si="3"/>
        <v>0.29212395093608778</v>
      </c>
      <c r="S59" s="1">
        <f t="shared" si="4"/>
        <v>9</v>
      </c>
      <c r="T59" s="137">
        <f t="shared" si="5"/>
        <v>7</v>
      </c>
      <c r="U59" s="13"/>
      <c r="V59" s="13"/>
      <c r="W59" s="13"/>
      <c r="X59" s="13"/>
      <c r="Y59" s="13"/>
      <c r="Z59" s="13"/>
      <c r="AA59" s="13"/>
      <c r="AB59" s="13"/>
      <c r="AC59" s="13"/>
      <c r="AD59" s="13"/>
      <c r="AE59" s="13"/>
      <c r="AF59" s="13"/>
      <c r="AG59" s="13"/>
      <c r="AH59" s="13"/>
      <c r="AI59" s="13"/>
      <c r="AJ59" s="13"/>
      <c r="AK59" s="13"/>
      <c r="AL59" s="13"/>
      <c r="AM59" s="13"/>
      <c r="AN59" s="13"/>
      <c r="AO59" s="13"/>
      <c r="AP59" s="13"/>
    </row>
    <row r="60" spans="1:42" s="15" customFormat="1" x14ac:dyDescent="0.25">
      <c r="A60" s="15" t="s">
        <v>64</v>
      </c>
      <c r="B60" s="15" t="s">
        <v>67</v>
      </c>
      <c r="C60" s="148" t="s">
        <v>311</v>
      </c>
      <c r="D60" s="148" t="s">
        <v>311</v>
      </c>
      <c r="E60" s="148" t="s">
        <v>311</v>
      </c>
      <c r="F60" s="148" t="s">
        <v>311</v>
      </c>
      <c r="G60" s="148">
        <v>0</v>
      </c>
      <c r="H60" s="148">
        <v>0</v>
      </c>
      <c r="I60" s="149">
        <f t="shared" si="0"/>
        <v>0</v>
      </c>
      <c r="J60" s="25">
        <v>507</v>
      </c>
      <c r="K60" s="18">
        <v>244</v>
      </c>
      <c r="L60" s="149" t="s">
        <v>311</v>
      </c>
      <c r="M60" s="148" t="s">
        <v>311</v>
      </c>
      <c r="N60" s="148" t="s">
        <v>311</v>
      </c>
      <c r="O60" s="148" t="s">
        <v>311</v>
      </c>
      <c r="P60" s="32">
        <f t="shared" si="1"/>
        <v>0</v>
      </c>
      <c r="Q60" s="32">
        <f t="shared" si="2"/>
        <v>0</v>
      </c>
      <c r="R60" s="116">
        <f t="shared" si="3"/>
        <v>0</v>
      </c>
      <c r="S60" s="20">
        <f t="shared" si="4"/>
        <v>46</v>
      </c>
      <c r="T60" s="138">
        <f t="shared" si="5"/>
        <v>46</v>
      </c>
      <c r="U60" s="13"/>
      <c r="V60" s="13"/>
      <c r="W60" s="13"/>
      <c r="X60" s="13"/>
      <c r="Y60" s="13"/>
      <c r="Z60" s="13"/>
      <c r="AA60" s="13"/>
      <c r="AB60" s="13"/>
      <c r="AC60" s="13"/>
      <c r="AD60" s="13"/>
      <c r="AE60" s="13"/>
      <c r="AF60" s="13"/>
      <c r="AG60" s="13"/>
      <c r="AH60" s="13"/>
      <c r="AI60" s="13"/>
      <c r="AJ60" s="13"/>
      <c r="AK60" s="13"/>
      <c r="AL60" s="13"/>
      <c r="AM60" s="13"/>
      <c r="AN60" s="13"/>
      <c r="AO60" s="13"/>
      <c r="AP60" s="13"/>
    </row>
    <row r="61" spans="1:42" s="15" customFormat="1" x14ac:dyDescent="0.25">
      <c r="A61" s="15" t="s">
        <v>68</v>
      </c>
      <c r="B61" s="15" t="s">
        <v>68</v>
      </c>
      <c r="C61" s="148" t="s">
        <v>311</v>
      </c>
      <c r="D61" s="148" t="s">
        <v>311</v>
      </c>
      <c r="E61" s="148" t="s">
        <v>311</v>
      </c>
      <c r="F61" s="148" t="s">
        <v>311</v>
      </c>
      <c r="G61" s="148">
        <v>0</v>
      </c>
      <c r="H61" s="148">
        <v>0</v>
      </c>
      <c r="I61" s="149">
        <f t="shared" si="0"/>
        <v>0</v>
      </c>
      <c r="J61" s="25">
        <v>97335</v>
      </c>
      <c r="K61" s="18">
        <v>86151</v>
      </c>
      <c r="L61" s="149" t="s">
        <v>311</v>
      </c>
      <c r="M61" s="148" t="s">
        <v>311</v>
      </c>
      <c r="N61" s="148" t="s">
        <v>311</v>
      </c>
      <c r="O61" s="148" t="s">
        <v>311</v>
      </c>
      <c r="P61" s="32">
        <v>0</v>
      </c>
      <c r="Q61" s="32">
        <v>0</v>
      </c>
      <c r="R61" s="117">
        <f t="shared" si="3"/>
        <v>0</v>
      </c>
      <c r="S61" s="20">
        <f t="shared" si="4"/>
        <v>46</v>
      </c>
      <c r="T61" s="138">
        <f t="shared" si="5"/>
        <v>46</v>
      </c>
      <c r="U61" s="13"/>
      <c r="V61" s="13"/>
      <c r="W61" s="13"/>
      <c r="X61" s="13"/>
      <c r="Y61" s="13"/>
      <c r="Z61" s="13"/>
      <c r="AA61" s="13"/>
      <c r="AB61" s="13"/>
      <c r="AC61" s="13"/>
      <c r="AD61" s="13"/>
      <c r="AE61" s="13"/>
      <c r="AF61" s="13"/>
      <c r="AG61" s="13"/>
      <c r="AH61" s="13"/>
      <c r="AI61" s="13"/>
      <c r="AJ61" s="13"/>
      <c r="AK61" s="13"/>
      <c r="AL61" s="13"/>
      <c r="AM61" s="13"/>
      <c r="AN61" s="13"/>
      <c r="AO61" s="13"/>
      <c r="AP61" s="13"/>
    </row>
    <row r="62" spans="1:42" x14ac:dyDescent="0.25">
      <c r="A62" s="2" t="s">
        <v>69</v>
      </c>
      <c r="B62" s="2" t="s">
        <v>70</v>
      </c>
      <c r="C62" s="146" t="s">
        <v>311</v>
      </c>
      <c r="D62" s="146" t="s">
        <v>311</v>
      </c>
      <c r="E62" s="146" t="s">
        <v>311</v>
      </c>
      <c r="F62" s="146" t="s">
        <v>311</v>
      </c>
      <c r="G62" s="146">
        <v>0</v>
      </c>
      <c r="H62" s="146">
        <v>0</v>
      </c>
      <c r="I62" s="147">
        <f t="shared" si="0"/>
        <v>0</v>
      </c>
      <c r="J62" s="118">
        <v>2458</v>
      </c>
      <c r="K62" s="14">
        <v>1</v>
      </c>
      <c r="L62" s="147" t="s">
        <v>311</v>
      </c>
      <c r="M62" s="170" t="s">
        <v>311</v>
      </c>
      <c r="N62" s="146" t="s">
        <v>311</v>
      </c>
      <c r="O62" s="146" t="s">
        <v>311</v>
      </c>
      <c r="P62" s="31">
        <f t="shared" si="1"/>
        <v>0</v>
      </c>
      <c r="Q62" s="31">
        <f t="shared" si="2"/>
        <v>0</v>
      </c>
      <c r="R62" s="114">
        <f t="shared" si="3"/>
        <v>0</v>
      </c>
      <c r="S62" s="1">
        <f t="shared" si="4"/>
        <v>46</v>
      </c>
      <c r="T62" s="137">
        <f t="shared" si="5"/>
        <v>46</v>
      </c>
      <c r="U62" s="13"/>
      <c r="V62" s="13"/>
      <c r="W62" s="13"/>
      <c r="X62" s="13"/>
      <c r="Y62" s="13"/>
      <c r="Z62" s="13"/>
      <c r="AA62" s="13"/>
      <c r="AB62" s="13"/>
      <c r="AC62" s="13"/>
      <c r="AD62" s="13"/>
      <c r="AE62" s="13"/>
      <c r="AF62" s="13"/>
      <c r="AG62" s="13"/>
      <c r="AH62" s="13"/>
      <c r="AI62" s="13"/>
      <c r="AJ62" s="13"/>
      <c r="AK62" s="13"/>
      <c r="AL62" s="13"/>
      <c r="AM62" s="13"/>
      <c r="AN62" s="13"/>
      <c r="AO62" s="13"/>
      <c r="AP62" s="13"/>
    </row>
    <row r="63" spans="1:42" x14ac:dyDescent="0.25">
      <c r="A63" s="2" t="s">
        <v>69</v>
      </c>
      <c r="B63" s="2" t="s">
        <v>71</v>
      </c>
      <c r="C63" s="146" t="s">
        <v>311</v>
      </c>
      <c r="D63" s="146" t="s">
        <v>311</v>
      </c>
      <c r="E63" s="146" t="s">
        <v>311</v>
      </c>
      <c r="F63" s="146" t="s">
        <v>311</v>
      </c>
      <c r="G63" s="146">
        <v>876</v>
      </c>
      <c r="H63" s="146">
        <v>208</v>
      </c>
      <c r="I63" s="147">
        <f t="shared" si="0"/>
        <v>1084</v>
      </c>
      <c r="J63" s="24">
        <v>6650</v>
      </c>
      <c r="K63" s="14">
        <v>761</v>
      </c>
      <c r="L63" s="147" t="s">
        <v>311</v>
      </c>
      <c r="M63" s="170" t="s">
        <v>311</v>
      </c>
      <c r="N63" s="146" t="s">
        <v>311</v>
      </c>
      <c r="O63" s="146" t="s">
        <v>311</v>
      </c>
      <c r="P63" s="31">
        <f t="shared" si="1"/>
        <v>0.13172932330827067</v>
      </c>
      <c r="Q63" s="31">
        <f t="shared" si="2"/>
        <v>0.27332457293035478</v>
      </c>
      <c r="R63" s="114">
        <f t="shared" si="3"/>
        <v>0.14626905950613953</v>
      </c>
      <c r="S63" s="1">
        <f t="shared" si="4"/>
        <v>20</v>
      </c>
      <c r="T63" s="137">
        <f t="shared" si="5"/>
        <v>15</v>
      </c>
      <c r="U63" s="13"/>
      <c r="V63" s="13"/>
      <c r="W63" s="13"/>
      <c r="X63" s="13"/>
      <c r="Y63" s="13"/>
      <c r="Z63" s="13"/>
      <c r="AA63" s="13"/>
      <c r="AB63" s="13"/>
      <c r="AC63" s="13"/>
      <c r="AD63" s="13"/>
      <c r="AE63" s="13"/>
      <c r="AF63" s="13"/>
      <c r="AG63" s="13"/>
      <c r="AH63" s="13"/>
      <c r="AI63" s="13"/>
      <c r="AJ63" s="13"/>
      <c r="AK63" s="13"/>
      <c r="AL63" s="13"/>
      <c r="AM63" s="13"/>
      <c r="AN63" s="13"/>
      <c r="AO63" s="13"/>
      <c r="AP63" s="13"/>
    </row>
    <row r="64" spans="1:42" x14ac:dyDescent="0.25">
      <c r="A64" s="2" t="s">
        <v>69</v>
      </c>
      <c r="B64" s="2" t="s">
        <v>72</v>
      </c>
      <c r="C64" s="146" t="s">
        <v>311</v>
      </c>
      <c r="D64" s="146" t="s">
        <v>311</v>
      </c>
      <c r="E64" s="146" t="s">
        <v>311</v>
      </c>
      <c r="F64" s="146" t="s">
        <v>311</v>
      </c>
      <c r="G64" s="146">
        <v>0</v>
      </c>
      <c r="H64" s="146">
        <v>0</v>
      </c>
      <c r="I64" s="147">
        <f t="shared" si="0"/>
        <v>0</v>
      </c>
      <c r="J64" s="24">
        <v>1059</v>
      </c>
      <c r="K64" s="14">
        <v>553</v>
      </c>
      <c r="L64" s="147" t="s">
        <v>311</v>
      </c>
      <c r="M64" s="170" t="s">
        <v>311</v>
      </c>
      <c r="N64" s="146" t="s">
        <v>311</v>
      </c>
      <c r="O64" s="146" t="s">
        <v>311</v>
      </c>
      <c r="P64" s="31">
        <f t="shared" si="1"/>
        <v>0</v>
      </c>
      <c r="Q64" s="31">
        <f t="shared" si="2"/>
        <v>0</v>
      </c>
      <c r="R64" s="114">
        <f t="shared" si="3"/>
        <v>0</v>
      </c>
      <c r="S64" s="1">
        <f t="shared" si="4"/>
        <v>46</v>
      </c>
      <c r="T64" s="137">
        <f t="shared" si="5"/>
        <v>46</v>
      </c>
      <c r="U64" s="13"/>
      <c r="V64" s="13"/>
      <c r="W64" s="13"/>
      <c r="X64" s="13"/>
      <c r="Y64" s="13"/>
      <c r="Z64" s="13"/>
      <c r="AA64" s="13"/>
      <c r="AB64" s="13"/>
      <c r="AC64" s="13"/>
      <c r="AD64" s="13"/>
      <c r="AE64" s="13"/>
      <c r="AF64" s="13"/>
      <c r="AG64" s="13"/>
      <c r="AH64" s="13"/>
      <c r="AI64" s="13"/>
      <c r="AJ64" s="13"/>
      <c r="AK64" s="13"/>
      <c r="AL64" s="13"/>
      <c r="AM64" s="13"/>
      <c r="AN64" s="13"/>
      <c r="AO64" s="13"/>
      <c r="AP64" s="13"/>
    </row>
    <row r="65" spans="1:42" x14ac:dyDescent="0.25">
      <c r="A65" s="2" t="s">
        <v>69</v>
      </c>
      <c r="B65" s="2" t="s">
        <v>132</v>
      </c>
      <c r="C65" s="146">
        <v>1</v>
      </c>
      <c r="D65" s="146">
        <v>0</v>
      </c>
      <c r="E65" s="146">
        <v>0</v>
      </c>
      <c r="F65" s="146">
        <v>0</v>
      </c>
      <c r="G65" s="146">
        <v>0</v>
      </c>
      <c r="H65" s="146">
        <v>0</v>
      </c>
      <c r="I65" s="147">
        <f t="shared" si="0"/>
        <v>0</v>
      </c>
      <c r="J65" s="24">
        <v>5904</v>
      </c>
      <c r="K65" s="14">
        <v>1860</v>
      </c>
      <c r="L65" s="33">
        <f t="shared" si="6"/>
        <v>1.6937669376693767E-4</v>
      </c>
      <c r="M65" s="171">
        <f t="shared" si="7"/>
        <v>0</v>
      </c>
      <c r="N65" s="31">
        <f t="shared" si="8"/>
        <v>0</v>
      </c>
      <c r="O65" s="31">
        <f t="shared" si="9"/>
        <v>0</v>
      </c>
      <c r="P65" s="31">
        <f t="shared" si="1"/>
        <v>0</v>
      </c>
      <c r="Q65" s="31">
        <f t="shared" si="2"/>
        <v>0</v>
      </c>
      <c r="R65" s="114">
        <f t="shared" si="3"/>
        <v>0</v>
      </c>
      <c r="S65" s="1">
        <f t="shared" si="4"/>
        <v>46</v>
      </c>
      <c r="T65" s="137">
        <f t="shared" si="5"/>
        <v>46</v>
      </c>
      <c r="U65" s="13"/>
      <c r="V65" s="13"/>
      <c r="W65" s="13"/>
      <c r="X65" s="13"/>
      <c r="Y65" s="13"/>
      <c r="Z65" s="13"/>
      <c r="AA65" s="13"/>
      <c r="AB65" s="13"/>
      <c r="AC65" s="13"/>
      <c r="AD65" s="13"/>
      <c r="AE65" s="13"/>
      <c r="AF65" s="13"/>
      <c r="AG65" s="13"/>
      <c r="AH65" s="13"/>
      <c r="AI65" s="13"/>
      <c r="AJ65" s="13"/>
      <c r="AK65" s="13"/>
      <c r="AL65" s="13"/>
      <c r="AM65" s="13"/>
      <c r="AN65" s="13"/>
      <c r="AO65" s="13"/>
      <c r="AP65" s="13"/>
    </row>
    <row r="66" spans="1:42" x14ac:dyDescent="0.25">
      <c r="A66" s="2" t="s">
        <v>69</v>
      </c>
      <c r="B66" s="2" t="s">
        <v>73</v>
      </c>
      <c r="C66" s="146" t="s">
        <v>311</v>
      </c>
      <c r="D66" s="146" t="s">
        <v>311</v>
      </c>
      <c r="E66" s="146" t="s">
        <v>311</v>
      </c>
      <c r="F66" s="146" t="s">
        <v>311</v>
      </c>
      <c r="G66" s="146">
        <v>0</v>
      </c>
      <c r="H66" s="146">
        <v>0</v>
      </c>
      <c r="I66" s="147">
        <f t="shared" si="0"/>
        <v>0</v>
      </c>
      <c r="J66" s="24">
        <v>210</v>
      </c>
      <c r="K66" s="14">
        <v>117</v>
      </c>
      <c r="L66" s="147" t="s">
        <v>311</v>
      </c>
      <c r="M66" s="170" t="s">
        <v>311</v>
      </c>
      <c r="N66" s="146" t="s">
        <v>311</v>
      </c>
      <c r="O66" s="146" t="s">
        <v>311</v>
      </c>
      <c r="P66" s="31">
        <f t="shared" si="1"/>
        <v>0</v>
      </c>
      <c r="Q66" s="31">
        <f t="shared" si="2"/>
        <v>0</v>
      </c>
      <c r="R66" s="114">
        <f t="shared" si="3"/>
        <v>0</v>
      </c>
      <c r="S66" s="1">
        <f t="shared" si="4"/>
        <v>46</v>
      </c>
      <c r="T66" s="137">
        <f t="shared" si="5"/>
        <v>46</v>
      </c>
      <c r="U66" s="13"/>
      <c r="V66" s="13"/>
      <c r="W66" s="13"/>
      <c r="X66" s="13"/>
      <c r="Y66" s="13"/>
      <c r="Z66" s="13"/>
      <c r="AA66" s="13"/>
      <c r="AB66" s="13"/>
      <c r="AC66" s="13"/>
      <c r="AD66" s="13"/>
      <c r="AE66" s="13"/>
      <c r="AF66" s="13"/>
      <c r="AG66" s="13"/>
      <c r="AH66" s="13"/>
      <c r="AI66" s="13"/>
      <c r="AJ66" s="13"/>
      <c r="AK66" s="13"/>
      <c r="AL66" s="13"/>
      <c r="AM66" s="13"/>
      <c r="AN66" s="13"/>
      <c r="AO66" s="13"/>
      <c r="AP66" s="13"/>
    </row>
    <row r="67" spans="1:42" x14ac:dyDescent="0.25">
      <c r="A67" s="2" t="s">
        <v>69</v>
      </c>
      <c r="B67" s="2" t="s">
        <v>74</v>
      </c>
      <c r="C67" s="146" t="s">
        <v>311</v>
      </c>
      <c r="D67" s="146" t="s">
        <v>311</v>
      </c>
      <c r="E67" s="146" t="s">
        <v>311</v>
      </c>
      <c r="F67" s="146" t="s">
        <v>311</v>
      </c>
      <c r="G67" s="146">
        <v>0</v>
      </c>
      <c r="H67" s="146">
        <v>0</v>
      </c>
      <c r="I67" s="147">
        <f t="shared" si="0"/>
        <v>0</v>
      </c>
      <c r="J67" s="24">
        <v>18870</v>
      </c>
      <c r="K67" s="14">
        <v>4214</v>
      </c>
      <c r="L67" s="147" t="s">
        <v>311</v>
      </c>
      <c r="M67" s="170" t="s">
        <v>311</v>
      </c>
      <c r="N67" s="146" t="s">
        <v>311</v>
      </c>
      <c r="O67" s="146" t="s">
        <v>311</v>
      </c>
      <c r="P67" s="31">
        <f t="shared" si="1"/>
        <v>0</v>
      </c>
      <c r="Q67" s="31">
        <f t="shared" si="2"/>
        <v>0</v>
      </c>
      <c r="R67" s="114">
        <f t="shared" si="3"/>
        <v>0</v>
      </c>
      <c r="S67" s="1">
        <f t="shared" si="4"/>
        <v>46</v>
      </c>
      <c r="T67" s="137">
        <f t="shared" si="5"/>
        <v>46</v>
      </c>
      <c r="U67" s="13"/>
      <c r="V67" s="13"/>
      <c r="W67" s="13"/>
      <c r="X67" s="13"/>
      <c r="Y67" s="13"/>
      <c r="Z67" s="13"/>
      <c r="AA67" s="13"/>
      <c r="AB67" s="13"/>
      <c r="AC67" s="13"/>
      <c r="AD67" s="13"/>
      <c r="AE67" s="13"/>
      <c r="AF67" s="13"/>
      <c r="AG67" s="13"/>
      <c r="AH67" s="13"/>
      <c r="AI67" s="13"/>
      <c r="AJ67" s="13"/>
      <c r="AK67" s="13"/>
      <c r="AL67" s="13"/>
      <c r="AM67" s="13"/>
      <c r="AN67" s="13"/>
      <c r="AO67" s="13"/>
      <c r="AP67" s="13"/>
    </row>
    <row r="68" spans="1:42" x14ac:dyDescent="0.25">
      <c r="A68" s="2" t="s">
        <v>69</v>
      </c>
      <c r="B68" s="2" t="s">
        <v>75</v>
      </c>
      <c r="C68" s="146" t="s">
        <v>311</v>
      </c>
      <c r="D68" s="146" t="s">
        <v>311</v>
      </c>
      <c r="E68" s="146" t="s">
        <v>311</v>
      </c>
      <c r="F68" s="146" t="s">
        <v>311</v>
      </c>
      <c r="G68" s="146">
        <v>0</v>
      </c>
      <c r="H68" s="146">
        <v>0</v>
      </c>
      <c r="I68" s="147">
        <f t="shared" si="0"/>
        <v>0</v>
      </c>
      <c r="J68" s="24">
        <v>3974</v>
      </c>
      <c r="K68" s="14">
        <v>594</v>
      </c>
      <c r="L68" s="147" t="s">
        <v>311</v>
      </c>
      <c r="M68" s="170" t="s">
        <v>311</v>
      </c>
      <c r="N68" s="146" t="s">
        <v>311</v>
      </c>
      <c r="O68" s="146" t="s">
        <v>311</v>
      </c>
      <c r="P68" s="31">
        <f t="shared" si="1"/>
        <v>0</v>
      </c>
      <c r="Q68" s="31">
        <f t="shared" si="2"/>
        <v>0</v>
      </c>
      <c r="R68" s="114">
        <f t="shared" si="3"/>
        <v>0</v>
      </c>
      <c r="S68" s="1">
        <f t="shared" si="4"/>
        <v>46</v>
      </c>
      <c r="T68" s="137">
        <f t="shared" si="5"/>
        <v>46</v>
      </c>
      <c r="U68" s="13"/>
      <c r="V68" s="13"/>
      <c r="W68" s="13"/>
      <c r="X68" s="13"/>
      <c r="Y68" s="13"/>
      <c r="Z68" s="13"/>
      <c r="AA68" s="13"/>
      <c r="AB68" s="13"/>
      <c r="AC68" s="13"/>
      <c r="AD68" s="13"/>
      <c r="AE68" s="13"/>
      <c r="AF68" s="13"/>
      <c r="AG68" s="13"/>
      <c r="AH68" s="13"/>
      <c r="AI68" s="13"/>
      <c r="AJ68" s="13"/>
      <c r="AK68" s="13"/>
      <c r="AL68" s="13"/>
      <c r="AM68" s="13"/>
      <c r="AN68" s="13"/>
      <c r="AO68" s="13"/>
      <c r="AP68" s="13"/>
    </row>
    <row r="69" spans="1:42" x14ac:dyDescent="0.25">
      <c r="A69" s="2" t="s">
        <v>69</v>
      </c>
      <c r="B69" s="2" t="s">
        <v>76</v>
      </c>
      <c r="C69" s="146" t="s">
        <v>311</v>
      </c>
      <c r="D69" s="146" t="s">
        <v>311</v>
      </c>
      <c r="E69" s="146" t="s">
        <v>311</v>
      </c>
      <c r="F69" s="146" t="s">
        <v>311</v>
      </c>
      <c r="G69" s="146">
        <v>0</v>
      </c>
      <c r="H69" s="146">
        <v>0</v>
      </c>
      <c r="I69" s="147">
        <f t="shared" si="0"/>
        <v>0</v>
      </c>
      <c r="J69" s="24">
        <v>6732</v>
      </c>
      <c r="K69" s="14">
        <v>2094</v>
      </c>
      <c r="L69" s="147" t="s">
        <v>311</v>
      </c>
      <c r="M69" s="170" t="s">
        <v>311</v>
      </c>
      <c r="N69" s="146" t="s">
        <v>311</v>
      </c>
      <c r="O69" s="146" t="s">
        <v>311</v>
      </c>
      <c r="P69" s="31">
        <f t="shared" si="1"/>
        <v>0</v>
      </c>
      <c r="Q69" s="31">
        <f t="shared" si="2"/>
        <v>0</v>
      </c>
      <c r="R69" s="114">
        <f t="shared" si="3"/>
        <v>0</v>
      </c>
      <c r="S69" s="1">
        <f t="shared" si="4"/>
        <v>46</v>
      </c>
      <c r="T69" s="137">
        <f t="shared" si="5"/>
        <v>46</v>
      </c>
      <c r="U69" s="13"/>
      <c r="V69" s="13"/>
      <c r="W69" s="13"/>
      <c r="X69" s="13"/>
      <c r="Y69" s="13"/>
      <c r="Z69" s="13"/>
      <c r="AA69" s="13"/>
      <c r="AB69" s="13"/>
      <c r="AC69" s="13"/>
      <c r="AD69" s="13"/>
      <c r="AE69" s="13"/>
      <c r="AF69" s="13"/>
      <c r="AG69" s="13"/>
      <c r="AH69" s="13"/>
      <c r="AI69" s="13"/>
      <c r="AJ69" s="13"/>
      <c r="AK69" s="13"/>
      <c r="AL69" s="13"/>
      <c r="AM69" s="13"/>
      <c r="AN69" s="13"/>
      <c r="AO69" s="13"/>
      <c r="AP69" s="13"/>
    </row>
    <row r="70" spans="1:42" x14ac:dyDescent="0.25">
      <c r="A70" s="2" t="s">
        <v>69</v>
      </c>
      <c r="B70" s="2" t="s">
        <v>133</v>
      </c>
      <c r="C70" s="146" t="s">
        <v>311</v>
      </c>
      <c r="D70" s="146" t="s">
        <v>311</v>
      </c>
      <c r="E70" s="146" t="s">
        <v>311</v>
      </c>
      <c r="F70" s="146" t="s">
        <v>311</v>
      </c>
      <c r="G70" s="146">
        <v>8</v>
      </c>
      <c r="H70" s="146">
        <v>1</v>
      </c>
      <c r="I70" s="147">
        <f t="shared" si="0"/>
        <v>9</v>
      </c>
      <c r="J70" s="24">
        <v>3209</v>
      </c>
      <c r="K70" s="14">
        <v>594</v>
      </c>
      <c r="L70" s="147" t="s">
        <v>311</v>
      </c>
      <c r="M70" s="170" t="s">
        <v>311</v>
      </c>
      <c r="N70" s="146" t="s">
        <v>311</v>
      </c>
      <c r="O70" s="146" t="s">
        <v>311</v>
      </c>
      <c r="P70" s="31">
        <f t="shared" si="1"/>
        <v>2.4929884699283265E-3</v>
      </c>
      <c r="Q70" s="31">
        <f t="shared" si="2"/>
        <v>1.6835016835016834E-3</v>
      </c>
      <c r="R70" s="114">
        <f t="shared" si="3"/>
        <v>2.3665527215356299E-3</v>
      </c>
      <c r="S70" s="1">
        <f t="shared" si="4"/>
        <v>38</v>
      </c>
      <c r="T70" s="137">
        <f t="shared" si="5"/>
        <v>37</v>
      </c>
      <c r="U70" s="13"/>
      <c r="V70" s="13"/>
      <c r="W70" s="13"/>
      <c r="X70" s="13"/>
      <c r="Y70" s="13"/>
      <c r="Z70" s="13"/>
      <c r="AA70" s="13"/>
      <c r="AB70" s="13"/>
      <c r="AC70" s="13"/>
      <c r="AD70" s="13"/>
      <c r="AE70" s="13"/>
      <c r="AF70" s="13"/>
      <c r="AG70" s="13"/>
      <c r="AH70" s="13"/>
      <c r="AI70" s="13"/>
      <c r="AJ70" s="13"/>
      <c r="AK70" s="13"/>
      <c r="AL70" s="13"/>
      <c r="AM70" s="13"/>
      <c r="AN70" s="13"/>
      <c r="AO70" s="13"/>
      <c r="AP70" s="13"/>
    </row>
    <row r="71" spans="1:42" x14ac:dyDescent="0.25">
      <c r="A71" s="2" t="s">
        <v>69</v>
      </c>
      <c r="B71" s="2" t="s">
        <v>77</v>
      </c>
      <c r="C71" s="146" t="s">
        <v>311</v>
      </c>
      <c r="D71" s="146" t="s">
        <v>311</v>
      </c>
      <c r="E71" s="146" t="s">
        <v>311</v>
      </c>
      <c r="F71" s="146" t="s">
        <v>311</v>
      </c>
      <c r="G71" s="146">
        <v>1281</v>
      </c>
      <c r="H71" s="146">
        <v>0</v>
      </c>
      <c r="I71" s="147">
        <f t="shared" si="0"/>
        <v>1281</v>
      </c>
      <c r="J71" s="24">
        <v>3955</v>
      </c>
      <c r="K71" s="14">
        <v>4</v>
      </c>
      <c r="L71" s="147" t="s">
        <v>311</v>
      </c>
      <c r="M71" s="170" t="s">
        <v>311</v>
      </c>
      <c r="N71" s="146" t="s">
        <v>311</v>
      </c>
      <c r="O71" s="146" t="s">
        <v>311</v>
      </c>
      <c r="P71" s="31">
        <f t="shared" si="1"/>
        <v>0.32389380530973449</v>
      </c>
      <c r="Q71" s="31">
        <f t="shared" si="2"/>
        <v>0</v>
      </c>
      <c r="R71" s="114">
        <f t="shared" si="3"/>
        <v>0.32356655721141703</v>
      </c>
      <c r="S71" s="1">
        <f t="shared" si="4"/>
        <v>18</v>
      </c>
      <c r="T71" s="137">
        <f t="shared" si="5"/>
        <v>6</v>
      </c>
      <c r="U71" s="13"/>
      <c r="V71" s="13"/>
      <c r="W71" s="13"/>
      <c r="X71" s="13"/>
      <c r="Y71" s="13"/>
      <c r="Z71" s="13"/>
      <c r="AA71" s="13"/>
      <c r="AB71" s="13"/>
      <c r="AC71" s="13"/>
      <c r="AD71" s="13"/>
      <c r="AE71" s="13"/>
      <c r="AF71" s="13"/>
      <c r="AG71" s="13"/>
      <c r="AH71" s="13"/>
      <c r="AI71" s="13"/>
      <c r="AJ71" s="13"/>
      <c r="AK71" s="13"/>
      <c r="AL71" s="13"/>
      <c r="AM71" s="13"/>
      <c r="AN71" s="13"/>
      <c r="AO71" s="13"/>
      <c r="AP71" s="13"/>
    </row>
    <row r="72" spans="1:42" x14ac:dyDescent="0.25">
      <c r="A72" s="2" t="s">
        <v>69</v>
      </c>
      <c r="B72" s="2" t="s">
        <v>78</v>
      </c>
      <c r="C72" s="146" t="s">
        <v>311</v>
      </c>
      <c r="D72" s="146" t="s">
        <v>311</v>
      </c>
      <c r="E72" s="146" t="s">
        <v>311</v>
      </c>
      <c r="F72" s="146" t="s">
        <v>311</v>
      </c>
      <c r="G72" s="146">
        <v>0</v>
      </c>
      <c r="H72" s="146">
        <v>0</v>
      </c>
      <c r="I72" s="147">
        <f t="shared" si="0"/>
        <v>0</v>
      </c>
      <c r="J72" s="24">
        <v>7330</v>
      </c>
      <c r="K72" s="14">
        <v>1909</v>
      </c>
      <c r="L72" s="147" t="s">
        <v>311</v>
      </c>
      <c r="M72" s="170" t="s">
        <v>311</v>
      </c>
      <c r="N72" s="146" t="s">
        <v>311</v>
      </c>
      <c r="O72" s="146" t="s">
        <v>311</v>
      </c>
      <c r="P72" s="31">
        <f t="shared" si="1"/>
        <v>0</v>
      </c>
      <c r="Q72" s="31">
        <f t="shared" si="2"/>
        <v>0</v>
      </c>
      <c r="R72" s="114">
        <f t="shared" si="3"/>
        <v>0</v>
      </c>
      <c r="S72" s="1">
        <f t="shared" si="4"/>
        <v>46</v>
      </c>
      <c r="T72" s="137">
        <f t="shared" si="5"/>
        <v>46</v>
      </c>
      <c r="U72" s="13"/>
      <c r="V72" s="13"/>
      <c r="W72" s="13"/>
      <c r="X72" s="13"/>
      <c r="Y72" s="13"/>
      <c r="Z72" s="13"/>
      <c r="AA72" s="13"/>
      <c r="AB72" s="13"/>
      <c r="AC72" s="13"/>
      <c r="AD72" s="13"/>
      <c r="AE72" s="13"/>
      <c r="AF72" s="13"/>
      <c r="AG72" s="13"/>
      <c r="AH72" s="13"/>
      <c r="AI72" s="13"/>
      <c r="AJ72" s="13"/>
      <c r="AK72" s="13"/>
      <c r="AL72" s="13"/>
      <c r="AM72" s="13"/>
      <c r="AN72" s="13"/>
      <c r="AO72" s="13"/>
      <c r="AP72" s="13"/>
    </row>
    <row r="73" spans="1:42" x14ac:dyDescent="0.25">
      <c r="A73" s="2" t="s">
        <v>69</v>
      </c>
      <c r="B73" s="2" t="s">
        <v>79</v>
      </c>
      <c r="C73" s="146" t="s">
        <v>311</v>
      </c>
      <c r="D73" s="146" t="s">
        <v>311</v>
      </c>
      <c r="E73" s="146" t="s">
        <v>311</v>
      </c>
      <c r="F73" s="146" t="s">
        <v>311</v>
      </c>
      <c r="G73" s="146">
        <v>0</v>
      </c>
      <c r="H73" s="146">
        <v>0</v>
      </c>
      <c r="I73" s="147">
        <f t="shared" ref="I73:I116" si="10">G73+H73</f>
        <v>0</v>
      </c>
      <c r="J73" s="24">
        <v>5338</v>
      </c>
      <c r="K73" s="14">
        <v>1152</v>
      </c>
      <c r="L73" s="147" t="s">
        <v>311</v>
      </c>
      <c r="M73" s="170" t="s">
        <v>311</v>
      </c>
      <c r="N73" s="146" t="s">
        <v>311</v>
      </c>
      <c r="O73" s="146" t="s">
        <v>311</v>
      </c>
      <c r="P73" s="31">
        <f t="shared" ref="P73:P116" si="11">G73/$J73</f>
        <v>0</v>
      </c>
      <c r="Q73" s="31">
        <f t="shared" ref="Q73:Q116" si="12">H73/$K73</f>
        <v>0</v>
      </c>
      <c r="R73" s="114">
        <f t="shared" ref="R73:R116" si="13">I73/(J73+K73)</f>
        <v>0</v>
      </c>
      <c r="S73" s="1">
        <f t="shared" ref="S73:S116" si="14">RANK(I73,$I$8:$I$116,0)</f>
        <v>46</v>
      </c>
      <c r="T73" s="137">
        <f t="shared" ref="T73:T116" si="15">RANK(R73,$R$8:$R$116,0)</f>
        <v>46</v>
      </c>
      <c r="U73" s="13"/>
      <c r="V73" s="13"/>
      <c r="W73" s="13"/>
      <c r="X73" s="13"/>
      <c r="Y73" s="13"/>
      <c r="Z73" s="13"/>
      <c r="AA73" s="13"/>
      <c r="AB73" s="13"/>
      <c r="AC73" s="13"/>
      <c r="AD73" s="13"/>
      <c r="AE73" s="13"/>
      <c r="AF73" s="13"/>
      <c r="AG73" s="13"/>
      <c r="AH73" s="13"/>
      <c r="AI73" s="13"/>
      <c r="AJ73" s="13"/>
      <c r="AK73" s="13"/>
      <c r="AL73" s="13"/>
      <c r="AM73" s="13"/>
      <c r="AN73" s="13"/>
      <c r="AO73" s="13"/>
      <c r="AP73" s="13"/>
    </row>
    <row r="74" spans="1:42" x14ac:dyDescent="0.25">
      <c r="A74" s="2" t="s">
        <v>69</v>
      </c>
      <c r="B74" s="2" t="s">
        <v>134</v>
      </c>
      <c r="C74" s="146" t="s">
        <v>311</v>
      </c>
      <c r="D74" s="146" t="s">
        <v>311</v>
      </c>
      <c r="E74" s="146" t="s">
        <v>311</v>
      </c>
      <c r="F74" s="146" t="s">
        <v>311</v>
      </c>
      <c r="G74" s="146">
        <v>1</v>
      </c>
      <c r="H74" s="146">
        <v>0</v>
      </c>
      <c r="I74" s="147">
        <f t="shared" si="10"/>
        <v>1</v>
      </c>
      <c r="J74" s="24">
        <v>10889</v>
      </c>
      <c r="K74" s="14">
        <v>950</v>
      </c>
      <c r="L74" s="147" t="s">
        <v>311</v>
      </c>
      <c r="M74" s="170" t="s">
        <v>311</v>
      </c>
      <c r="N74" s="146" t="s">
        <v>311</v>
      </c>
      <c r="O74" s="146" t="s">
        <v>311</v>
      </c>
      <c r="P74" s="31">
        <f t="shared" si="11"/>
        <v>9.1835797593902102E-5</v>
      </c>
      <c r="Q74" s="31">
        <f t="shared" si="12"/>
        <v>0</v>
      </c>
      <c r="R74" s="114">
        <f t="shared" si="13"/>
        <v>8.4466593462285662E-5</v>
      </c>
      <c r="S74" s="1">
        <f t="shared" si="14"/>
        <v>43</v>
      </c>
      <c r="T74" s="137">
        <f t="shared" si="15"/>
        <v>44</v>
      </c>
      <c r="U74" s="13"/>
      <c r="V74" s="13"/>
      <c r="W74" s="13"/>
      <c r="X74" s="13"/>
      <c r="Y74" s="13"/>
      <c r="Z74" s="13"/>
      <c r="AA74" s="13"/>
      <c r="AB74" s="13"/>
      <c r="AC74" s="13"/>
      <c r="AD74" s="13"/>
      <c r="AE74" s="13"/>
      <c r="AF74" s="13"/>
      <c r="AG74" s="13"/>
      <c r="AH74" s="13"/>
      <c r="AI74" s="13"/>
      <c r="AJ74" s="13"/>
      <c r="AK74" s="13"/>
      <c r="AL74" s="13"/>
      <c r="AM74" s="13"/>
      <c r="AN74" s="13"/>
      <c r="AO74" s="13"/>
      <c r="AP74" s="13"/>
    </row>
    <row r="75" spans="1:42" x14ac:dyDescent="0.25">
      <c r="A75" s="2" t="s">
        <v>69</v>
      </c>
      <c r="B75" s="2" t="s">
        <v>80</v>
      </c>
      <c r="C75" s="146">
        <v>0</v>
      </c>
      <c r="D75" s="146">
        <v>0</v>
      </c>
      <c r="E75" s="146">
        <v>1</v>
      </c>
      <c r="F75" s="146">
        <v>0</v>
      </c>
      <c r="G75" s="146">
        <v>132</v>
      </c>
      <c r="H75" s="146">
        <v>0</v>
      </c>
      <c r="I75" s="147">
        <f t="shared" si="10"/>
        <v>132</v>
      </c>
      <c r="J75" s="24">
        <v>1515</v>
      </c>
      <c r="K75" s="14">
        <v>3</v>
      </c>
      <c r="L75" s="33">
        <f t="shared" ref="L75:L115" si="16">C75/$J75</f>
        <v>0</v>
      </c>
      <c r="M75" s="171">
        <f t="shared" ref="M75:M115" si="17">D75/$K75</f>
        <v>0</v>
      </c>
      <c r="N75" s="31">
        <f t="shared" ref="N75:N115" si="18">E75/$J75</f>
        <v>6.6006600660066007E-4</v>
      </c>
      <c r="O75" s="31">
        <f t="shared" ref="O75:O115" si="19">F75/$K75</f>
        <v>0</v>
      </c>
      <c r="P75" s="31">
        <f t="shared" si="11"/>
        <v>8.7128712871287123E-2</v>
      </c>
      <c r="Q75" s="31">
        <f t="shared" si="12"/>
        <v>0</v>
      </c>
      <c r="R75" s="114">
        <f t="shared" si="13"/>
        <v>8.6956521739130432E-2</v>
      </c>
      <c r="S75" s="1">
        <f t="shared" si="14"/>
        <v>31</v>
      </c>
      <c r="T75" s="137">
        <f t="shared" si="15"/>
        <v>20</v>
      </c>
      <c r="U75" s="13"/>
      <c r="V75" s="13"/>
      <c r="W75" s="13"/>
      <c r="X75" s="13"/>
      <c r="Y75" s="13"/>
      <c r="Z75" s="13"/>
      <c r="AA75" s="13"/>
      <c r="AB75" s="13"/>
      <c r="AC75" s="13"/>
      <c r="AD75" s="13"/>
      <c r="AE75" s="13"/>
      <c r="AF75" s="13"/>
      <c r="AG75" s="13"/>
      <c r="AH75" s="13"/>
      <c r="AI75" s="13"/>
      <c r="AJ75" s="13"/>
      <c r="AK75" s="13"/>
      <c r="AL75" s="13"/>
      <c r="AM75" s="13"/>
      <c r="AN75" s="13"/>
      <c r="AO75" s="13"/>
      <c r="AP75" s="13"/>
    </row>
    <row r="76" spans="1:42" x14ac:dyDescent="0.25">
      <c r="A76" s="2" t="s">
        <v>69</v>
      </c>
      <c r="B76" s="2" t="s">
        <v>81</v>
      </c>
      <c r="C76" s="146" t="s">
        <v>311</v>
      </c>
      <c r="D76" s="146" t="s">
        <v>311</v>
      </c>
      <c r="E76" s="146" t="s">
        <v>311</v>
      </c>
      <c r="F76" s="146" t="s">
        <v>311</v>
      </c>
      <c r="G76" s="146">
        <v>943</v>
      </c>
      <c r="H76" s="146">
        <v>203</v>
      </c>
      <c r="I76" s="147">
        <f t="shared" si="10"/>
        <v>1146</v>
      </c>
      <c r="J76" s="24">
        <v>13393</v>
      </c>
      <c r="K76" s="14">
        <v>5643</v>
      </c>
      <c r="L76" s="147" t="s">
        <v>311</v>
      </c>
      <c r="M76" s="170" t="s">
        <v>311</v>
      </c>
      <c r="N76" s="146" t="s">
        <v>311</v>
      </c>
      <c r="O76" s="146" t="s">
        <v>311</v>
      </c>
      <c r="P76" s="31">
        <f t="shared" si="11"/>
        <v>7.0409915627566641E-2</v>
      </c>
      <c r="Q76" s="31">
        <f t="shared" si="12"/>
        <v>3.5973772815878081E-2</v>
      </c>
      <c r="R76" s="114">
        <f t="shared" si="13"/>
        <v>6.0201723051061147E-2</v>
      </c>
      <c r="S76" s="1">
        <f t="shared" si="14"/>
        <v>19</v>
      </c>
      <c r="T76" s="137">
        <f t="shared" si="15"/>
        <v>25</v>
      </c>
      <c r="U76" s="13"/>
      <c r="V76" s="13"/>
      <c r="W76" s="13"/>
      <c r="X76" s="13"/>
      <c r="Y76" s="13"/>
      <c r="Z76" s="13"/>
      <c r="AA76" s="13"/>
      <c r="AB76" s="13"/>
      <c r="AC76" s="13"/>
      <c r="AD76" s="13"/>
      <c r="AE76" s="13"/>
      <c r="AF76" s="13"/>
      <c r="AG76" s="13"/>
      <c r="AH76" s="13"/>
      <c r="AI76" s="13"/>
      <c r="AJ76" s="13"/>
      <c r="AK76" s="13"/>
      <c r="AL76" s="13"/>
      <c r="AM76" s="13"/>
      <c r="AN76" s="13"/>
      <c r="AO76" s="13"/>
      <c r="AP76" s="13"/>
    </row>
    <row r="77" spans="1:42" x14ac:dyDescent="0.25">
      <c r="A77" s="2" t="s">
        <v>69</v>
      </c>
      <c r="B77" s="2" t="s">
        <v>82</v>
      </c>
      <c r="C77" s="146" t="s">
        <v>311</v>
      </c>
      <c r="D77" s="146" t="s">
        <v>311</v>
      </c>
      <c r="E77" s="146" t="s">
        <v>311</v>
      </c>
      <c r="F77" s="146" t="s">
        <v>311</v>
      </c>
      <c r="G77" s="146">
        <v>0</v>
      </c>
      <c r="H77" s="146">
        <v>0</v>
      </c>
      <c r="I77" s="147">
        <f t="shared" si="10"/>
        <v>0</v>
      </c>
      <c r="J77" s="24">
        <v>8979</v>
      </c>
      <c r="K77" s="14">
        <v>3062</v>
      </c>
      <c r="L77" s="147" t="s">
        <v>311</v>
      </c>
      <c r="M77" s="170" t="s">
        <v>311</v>
      </c>
      <c r="N77" s="146" t="s">
        <v>311</v>
      </c>
      <c r="O77" s="146" t="s">
        <v>311</v>
      </c>
      <c r="P77" s="31">
        <f t="shared" si="11"/>
        <v>0</v>
      </c>
      <c r="Q77" s="31">
        <f t="shared" si="12"/>
        <v>0</v>
      </c>
      <c r="R77" s="114">
        <f t="shared" si="13"/>
        <v>0</v>
      </c>
      <c r="S77" s="1">
        <f t="shared" si="14"/>
        <v>46</v>
      </c>
      <c r="T77" s="137">
        <f t="shared" si="15"/>
        <v>46</v>
      </c>
      <c r="U77" s="13"/>
      <c r="V77" s="13"/>
      <c r="W77" s="13"/>
      <c r="X77" s="13"/>
      <c r="Y77" s="13"/>
      <c r="Z77" s="13"/>
      <c r="AA77" s="13"/>
      <c r="AB77" s="13"/>
      <c r="AC77" s="13"/>
      <c r="AD77" s="13"/>
      <c r="AE77" s="13"/>
      <c r="AF77" s="13"/>
      <c r="AG77" s="13"/>
      <c r="AH77" s="13"/>
      <c r="AI77" s="13"/>
      <c r="AJ77" s="13"/>
      <c r="AK77" s="13"/>
      <c r="AL77" s="13"/>
      <c r="AM77" s="13"/>
      <c r="AN77" s="13"/>
      <c r="AO77" s="13"/>
      <c r="AP77" s="13"/>
    </row>
    <row r="78" spans="1:42" x14ac:dyDescent="0.25">
      <c r="A78" s="2" t="s">
        <v>69</v>
      </c>
      <c r="B78" s="2" t="s">
        <v>83</v>
      </c>
      <c r="C78" s="146" t="s">
        <v>311</v>
      </c>
      <c r="D78" s="146" t="s">
        <v>311</v>
      </c>
      <c r="E78" s="146" t="s">
        <v>311</v>
      </c>
      <c r="F78" s="146" t="s">
        <v>311</v>
      </c>
      <c r="G78" s="146">
        <v>1587</v>
      </c>
      <c r="H78" s="146">
        <v>871</v>
      </c>
      <c r="I78" s="147">
        <f t="shared" si="10"/>
        <v>2458</v>
      </c>
      <c r="J78" s="24">
        <v>8271</v>
      </c>
      <c r="K78" s="14">
        <v>1785</v>
      </c>
      <c r="L78" s="147" t="s">
        <v>311</v>
      </c>
      <c r="M78" s="170" t="s">
        <v>311</v>
      </c>
      <c r="N78" s="146" t="s">
        <v>311</v>
      </c>
      <c r="O78" s="146" t="s">
        <v>311</v>
      </c>
      <c r="P78" s="31">
        <f t="shared" si="11"/>
        <v>0.19187522669568371</v>
      </c>
      <c r="Q78" s="31">
        <f t="shared" si="12"/>
        <v>0.48795518207282912</v>
      </c>
      <c r="R78" s="114">
        <f t="shared" si="13"/>
        <v>0.24443118536197295</v>
      </c>
      <c r="S78" s="1">
        <f t="shared" si="14"/>
        <v>11</v>
      </c>
      <c r="T78" s="137">
        <f t="shared" si="15"/>
        <v>9</v>
      </c>
      <c r="U78" s="13"/>
      <c r="V78" s="13"/>
      <c r="W78" s="13"/>
      <c r="X78" s="13"/>
      <c r="Y78" s="13"/>
      <c r="Z78" s="13"/>
      <c r="AA78" s="13"/>
      <c r="AB78" s="13"/>
      <c r="AC78" s="13"/>
      <c r="AD78" s="13"/>
      <c r="AE78" s="13"/>
      <c r="AF78" s="13"/>
      <c r="AG78" s="13"/>
      <c r="AH78" s="13"/>
      <c r="AI78" s="13"/>
      <c r="AJ78" s="13"/>
      <c r="AK78" s="13"/>
      <c r="AL78" s="13"/>
      <c r="AM78" s="13"/>
      <c r="AN78" s="13"/>
      <c r="AO78" s="13"/>
      <c r="AP78" s="13"/>
    </row>
    <row r="79" spans="1:42" x14ac:dyDescent="0.25">
      <c r="A79" s="2" t="s">
        <v>69</v>
      </c>
      <c r="B79" s="2" t="s">
        <v>69</v>
      </c>
      <c r="C79" s="146" t="s">
        <v>311</v>
      </c>
      <c r="D79" s="146" t="s">
        <v>311</v>
      </c>
      <c r="E79" s="146" t="s">
        <v>311</v>
      </c>
      <c r="F79" s="146" t="s">
        <v>311</v>
      </c>
      <c r="G79" s="146">
        <v>500</v>
      </c>
      <c r="H79" s="146">
        <v>64</v>
      </c>
      <c r="I79" s="147">
        <f t="shared" si="10"/>
        <v>564</v>
      </c>
      <c r="J79" s="24">
        <v>17875</v>
      </c>
      <c r="K79" s="14">
        <v>9301</v>
      </c>
      <c r="L79" s="147" t="s">
        <v>311</v>
      </c>
      <c r="M79" s="170" t="s">
        <v>311</v>
      </c>
      <c r="N79" s="146" t="s">
        <v>311</v>
      </c>
      <c r="O79" s="146" t="s">
        <v>311</v>
      </c>
      <c r="P79" s="31">
        <f t="shared" si="11"/>
        <v>2.7972027972027972E-2</v>
      </c>
      <c r="Q79" s="31">
        <f t="shared" si="12"/>
        <v>6.8809805397269108E-3</v>
      </c>
      <c r="R79" s="114">
        <f t="shared" si="13"/>
        <v>2.0753606123049748E-2</v>
      </c>
      <c r="S79" s="1">
        <f t="shared" si="14"/>
        <v>24</v>
      </c>
      <c r="T79" s="137">
        <f t="shared" si="15"/>
        <v>30</v>
      </c>
      <c r="U79" s="13"/>
      <c r="V79" s="13"/>
      <c r="W79" s="13"/>
      <c r="X79" s="13"/>
      <c r="Y79" s="13"/>
      <c r="Z79" s="13"/>
      <c r="AA79" s="13"/>
      <c r="AB79" s="13"/>
      <c r="AC79" s="13"/>
      <c r="AD79" s="13"/>
      <c r="AE79" s="13"/>
      <c r="AF79" s="13"/>
      <c r="AG79" s="13"/>
      <c r="AH79" s="13"/>
      <c r="AI79" s="13"/>
      <c r="AJ79" s="13"/>
      <c r="AK79" s="13"/>
      <c r="AL79" s="13"/>
      <c r="AM79" s="13"/>
      <c r="AN79" s="13"/>
      <c r="AO79" s="13"/>
      <c r="AP79" s="13"/>
    </row>
    <row r="80" spans="1:42" x14ac:dyDescent="0.25">
      <c r="A80" s="2" t="s">
        <v>69</v>
      </c>
      <c r="B80" s="2" t="s">
        <v>84</v>
      </c>
      <c r="C80" s="146" t="s">
        <v>311</v>
      </c>
      <c r="D80" s="146" t="s">
        <v>311</v>
      </c>
      <c r="E80" s="146" t="s">
        <v>311</v>
      </c>
      <c r="F80" s="146" t="s">
        <v>311</v>
      </c>
      <c r="G80" s="146">
        <v>0</v>
      </c>
      <c r="H80" s="146">
        <v>0</v>
      </c>
      <c r="I80" s="147">
        <f t="shared" si="10"/>
        <v>0</v>
      </c>
      <c r="J80" s="24">
        <v>13018</v>
      </c>
      <c r="K80" s="14">
        <v>3295</v>
      </c>
      <c r="L80" s="147" t="s">
        <v>311</v>
      </c>
      <c r="M80" s="170" t="s">
        <v>311</v>
      </c>
      <c r="N80" s="146" t="s">
        <v>311</v>
      </c>
      <c r="O80" s="146" t="s">
        <v>311</v>
      </c>
      <c r="P80" s="31">
        <f t="shared" si="11"/>
        <v>0</v>
      </c>
      <c r="Q80" s="31">
        <f t="shared" si="12"/>
        <v>0</v>
      </c>
      <c r="R80" s="114">
        <f t="shared" si="13"/>
        <v>0</v>
      </c>
      <c r="S80" s="1">
        <f t="shared" si="14"/>
        <v>46</v>
      </c>
      <c r="T80" s="137">
        <f t="shared" si="15"/>
        <v>46</v>
      </c>
      <c r="U80" s="13"/>
      <c r="V80" s="13"/>
      <c r="W80" s="13"/>
      <c r="X80" s="13"/>
      <c r="Y80" s="13"/>
      <c r="Z80" s="13"/>
      <c r="AA80" s="13"/>
      <c r="AB80" s="13"/>
      <c r="AC80" s="13"/>
      <c r="AD80" s="13"/>
      <c r="AE80" s="13"/>
      <c r="AF80" s="13"/>
      <c r="AG80" s="13"/>
      <c r="AH80" s="13"/>
      <c r="AI80" s="13"/>
      <c r="AJ80" s="13"/>
      <c r="AK80" s="13"/>
      <c r="AL80" s="13"/>
      <c r="AM80" s="13"/>
      <c r="AN80" s="13"/>
      <c r="AO80" s="13"/>
      <c r="AP80" s="13"/>
    </row>
    <row r="81" spans="1:42" x14ac:dyDescent="0.25">
      <c r="A81" s="2" t="s">
        <v>69</v>
      </c>
      <c r="B81" s="2" t="s">
        <v>85</v>
      </c>
      <c r="C81" s="146">
        <v>532</v>
      </c>
      <c r="D81" s="146">
        <v>14</v>
      </c>
      <c r="E81" s="146">
        <v>1129</v>
      </c>
      <c r="F81" s="146">
        <v>10</v>
      </c>
      <c r="G81" s="146">
        <v>3956</v>
      </c>
      <c r="H81" s="146">
        <v>40</v>
      </c>
      <c r="I81" s="147">
        <f t="shared" si="10"/>
        <v>3996</v>
      </c>
      <c r="J81" s="24">
        <v>16155</v>
      </c>
      <c r="K81" s="14">
        <v>1067</v>
      </c>
      <c r="L81" s="33">
        <f t="shared" si="16"/>
        <v>3.2930981120396163E-2</v>
      </c>
      <c r="M81" s="171">
        <f t="shared" si="17"/>
        <v>1.3120899718837863E-2</v>
      </c>
      <c r="N81" s="31">
        <f t="shared" si="18"/>
        <v>6.9885484370164036E-2</v>
      </c>
      <c r="O81" s="31">
        <f t="shared" si="19"/>
        <v>9.3720712277413302E-3</v>
      </c>
      <c r="P81" s="31">
        <f t="shared" si="11"/>
        <v>0.24487774682760755</v>
      </c>
      <c r="Q81" s="31">
        <f t="shared" si="12"/>
        <v>3.7488284910965321E-2</v>
      </c>
      <c r="R81" s="114">
        <f t="shared" si="13"/>
        <v>0.23202880037161769</v>
      </c>
      <c r="S81" s="1">
        <f t="shared" si="14"/>
        <v>3</v>
      </c>
      <c r="T81" s="137">
        <f t="shared" si="15"/>
        <v>11</v>
      </c>
      <c r="U81" s="13"/>
      <c r="V81" s="13"/>
      <c r="W81" s="13"/>
      <c r="X81" s="13"/>
      <c r="Y81" s="13"/>
      <c r="Z81" s="13"/>
      <c r="AA81" s="13"/>
      <c r="AB81" s="13"/>
      <c r="AC81" s="13"/>
      <c r="AD81" s="13"/>
      <c r="AE81" s="13"/>
      <c r="AF81" s="13"/>
      <c r="AG81" s="13"/>
      <c r="AH81" s="13"/>
      <c r="AI81" s="13"/>
      <c r="AJ81" s="13"/>
      <c r="AK81" s="13"/>
      <c r="AL81" s="13"/>
      <c r="AM81" s="13"/>
      <c r="AN81" s="13"/>
      <c r="AO81" s="13"/>
      <c r="AP81" s="13"/>
    </row>
    <row r="82" spans="1:42" s="15" customFormat="1" x14ac:dyDescent="0.25">
      <c r="A82" s="15" t="s">
        <v>69</v>
      </c>
      <c r="B82" s="15" t="s">
        <v>86</v>
      </c>
      <c r="C82" s="148">
        <v>2</v>
      </c>
      <c r="D82" s="148">
        <v>0</v>
      </c>
      <c r="E82" s="148">
        <v>0</v>
      </c>
      <c r="F82" s="148">
        <v>0</v>
      </c>
      <c r="G82" s="148">
        <v>661</v>
      </c>
      <c r="H82" s="148">
        <v>3</v>
      </c>
      <c r="I82" s="149">
        <f t="shared" si="10"/>
        <v>664</v>
      </c>
      <c r="J82" s="25">
        <v>1962</v>
      </c>
      <c r="K82" s="18">
        <v>7</v>
      </c>
      <c r="L82" s="34">
        <f t="shared" si="16"/>
        <v>1.0193679918450561E-3</v>
      </c>
      <c r="M82" s="32">
        <f t="shared" si="17"/>
        <v>0</v>
      </c>
      <c r="N82" s="32">
        <f t="shared" si="18"/>
        <v>0</v>
      </c>
      <c r="O82" s="32">
        <f t="shared" si="19"/>
        <v>0</v>
      </c>
      <c r="P82" s="32">
        <f t="shared" si="11"/>
        <v>0.33690112130479105</v>
      </c>
      <c r="Q82" s="32">
        <f t="shared" si="12"/>
        <v>0.42857142857142855</v>
      </c>
      <c r="R82" s="116">
        <f t="shared" si="13"/>
        <v>0.3372270187912646</v>
      </c>
      <c r="S82" s="20">
        <f t="shared" si="14"/>
        <v>23</v>
      </c>
      <c r="T82" s="138">
        <f t="shared" si="15"/>
        <v>4</v>
      </c>
      <c r="U82" s="13"/>
      <c r="V82" s="13"/>
      <c r="W82" s="13"/>
      <c r="X82" s="13"/>
      <c r="Y82" s="13"/>
      <c r="Z82" s="13"/>
      <c r="AA82" s="13"/>
      <c r="AB82" s="13"/>
      <c r="AC82" s="13"/>
      <c r="AD82" s="13"/>
      <c r="AE82" s="13"/>
      <c r="AF82" s="13"/>
      <c r="AG82" s="13"/>
      <c r="AH82" s="13"/>
      <c r="AI82" s="13"/>
      <c r="AJ82" s="13"/>
      <c r="AK82" s="13"/>
      <c r="AL82" s="13"/>
      <c r="AM82" s="13"/>
      <c r="AN82" s="13"/>
      <c r="AO82" s="13"/>
      <c r="AP82" s="13"/>
    </row>
    <row r="83" spans="1:42" x14ac:dyDescent="0.25">
      <c r="A83" s="2" t="s">
        <v>87</v>
      </c>
      <c r="B83" s="2" t="s">
        <v>88</v>
      </c>
      <c r="C83" s="146" t="s">
        <v>311</v>
      </c>
      <c r="D83" s="146" t="s">
        <v>311</v>
      </c>
      <c r="E83" s="146" t="s">
        <v>311</v>
      </c>
      <c r="F83" s="146" t="s">
        <v>311</v>
      </c>
      <c r="G83" s="146">
        <v>0</v>
      </c>
      <c r="H83" s="146">
        <v>0</v>
      </c>
      <c r="I83" s="147">
        <f t="shared" si="10"/>
        <v>0</v>
      </c>
      <c r="J83" s="118">
        <v>7742</v>
      </c>
      <c r="K83" s="14">
        <v>3118</v>
      </c>
      <c r="L83" s="147" t="s">
        <v>311</v>
      </c>
      <c r="M83" s="170" t="s">
        <v>311</v>
      </c>
      <c r="N83" s="146" t="s">
        <v>311</v>
      </c>
      <c r="O83" s="146" t="s">
        <v>311</v>
      </c>
      <c r="P83" s="31">
        <f t="shared" si="11"/>
        <v>0</v>
      </c>
      <c r="Q83" s="31">
        <f t="shared" si="12"/>
        <v>0</v>
      </c>
      <c r="R83" s="114">
        <f t="shared" si="13"/>
        <v>0</v>
      </c>
      <c r="S83" s="1">
        <f t="shared" si="14"/>
        <v>46</v>
      </c>
      <c r="T83" s="137">
        <f t="shared" si="15"/>
        <v>46</v>
      </c>
      <c r="U83" s="13"/>
      <c r="V83" s="13"/>
      <c r="W83" s="13"/>
      <c r="X83" s="13"/>
      <c r="Y83" s="13"/>
      <c r="Z83" s="13"/>
      <c r="AA83" s="13"/>
      <c r="AB83" s="13"/>
      <c r="AC83" s="13"/>
      <c r="AD83" s="13"/>
      <c r="AE83" s="13"/>
      <c r="AF83" s="13"/>
      <c r="AG83" s="13"/>
      <c r="AH83" s="13"/>
      <c r="AI83" s="13"/>
      <c r="AJ83" s="13"/>
      <c r="AK83" s="13"/>
      <c r="AL83" s="13"/>
      <c r="AM83" s="13"/>
      <c r="AN83" s="13"/>
      <c r="AO83" s="13"/>
      <c r="AP83" s="13"/>
    </row>
    <row r="84" spans="1:42" x14ac:dyDescent="0.25">
      <c r="A84" s="2" t="s">
        <v>87</v>
      </c>
      <c r="B84" s="2" t="s">
        <v>89</v>
      </c>
      <c r="C84" s="146">
        <v>0</v>
      </c>
      <c r="D84" s="146">
        <v>0</v>
      </c>
      <c r="E84" s="146">
        <v>2</v>
      </c>
      <c r="F84" s="146">
        <v>0</v>
      </c>
      <c r="G84" s="146">
        <v>8</v>
      </c>
      <c r="H84" s="146">
        <v>0</v>
      </c>
      <c r="I84" s="147">
        <f t="shared" si="10"/>
        <v>8</v>
      </c>
      <c r="J84" s="24">
        <v>12035</v>
      </c>
      <c r="K84" s="14">
        <v>3162</v>
      </c>
      <c r="L84" s="33">
        <f t="shared" si="16"/>
        <v>0</v>
      </c>
      <c r="M84" s="171">
        <f t="shared" si="17"/>
        <v>0</v>
      </c>
      <c r="N84" s="31">
        <f t="shared" si="18"/>
        <v>1.6618196925633567E-4</v>
      </c>
      <c r="O84" s="31">
        <f t="shared" si="19"/>
        <v>0</v>
      </c>
      <c r="P84" s="31">
        <f t="shared" si="11"/>
        <v>6.647278770253427E-4</v>
      </c>
      <c r="Q84" s="31">
        <f t="shared" si="12"/>
        <v>0</v>
      </c>
      <c r="R84" s="114">
        <f t="shared" si="13"/>
        <v>5.2641968809633477E-4</v>
      </c>
      <c r="S84" s="1">
        <f t="shared" si="14"/>
        <v>39</v>
      </c>
      <c r="T84" s="137">
        <f t="shared" si="15"/>
        <v>40</v>
      </c>
      <c r="U84" s="13"/>
      <c r="V84" s="13"/>
      <c r="W84" s="13"/>
      <c r="X84" s="13"/>
      <c r="Y84" s="13"/>
      <c r="Z84" s="13"/>
      <c r="AA84" s="13"/>
      <c r="AB84" s="13"/>
      <c r="AC84" s="13"/>
      <c r="AD84" s="13"/>
      <c r="AE84" s="13"/>
      <c r="AF84" s="13"/>
      <c r="AG84" s="13"/>
      <c r="AH84" s="13"/>
      <c r="AI84" s="13"/>
      <c r="AJ84" s="13"/>
      <c r="AK84" s="13"/>
      <c r="AL84" s="13"/>
      <c r="AM84" s="13"/>
      <c r="AN84" s="13"/>
      <c r="AO84" s="13"/>
      <c r="AP84" s="13"/>
    </row>
    <row r="85" spans="1:42" x14ac:dyDescent="0.25">
      <c r="A85" s="2" t="s">
        <v>87</v>
      </c>
      <c r="B85" s="2" t="s">
        <v>90</v>
      </c>
      <c r="C85" s="146">
        <v>2</v>
      </c>
      <c r="D85" s="146">
        <v>0</v>
      </c>
      <c r="E85" s="146">
        <v>1</v>
      </c>
      <c r="F85" s="146">
        <v>0</v>
      </c>
      <c r="G85" s="146">
        <v>0</v>
      </c>
      <c r="H85" s="146">
        <v>0</v>
      </c>
      <c r="I85" s="147">
        <f t="shared" si="10"/>
        <v>0</v>
      </c>
      <c r="J85" s="24">
        <v>12000</v>
      </c>
      <c r="K85" s="14">
        <v>1148</v>
      </c>
      <c r="L85" s="33">
        <f t="shared" si="16"/>
        <v>1.6666666666666666E-4</v>
      </c>
      <c r="M85" s="171">
        <f t="shared" si="17"/>
        <v>0</v>
      </c>
      <c r="N85" s="31">
        <f t="shared" si="18"/>
        <v>8.3333333333333331E-5</v>
      </c>
      <c r="O85" s="31">
        <f t="shared" si="19"/>
        <v>0</v>
      </c>
      <c r="P85" s="31">
        <f t="shared" si="11"/>
        <v>0</v>
      </c>
      <c r="Q85" s="31">
        <f t="shared" si="12"/>
        <v>0</v>
      </c>
      <c r="R85" s="114">
        <f t="shared" si="13"/>
        <v>0</v>
      </c>
      <c r="S85" s="1">
        <f t="shared" si="14"/>
        <v>46</v>
      </c>
      <c r="T85" s="137">
        <f t="shared" si="15"/>
        <v>46</v>
      </c>
      <c r="U85" s="13"/>
      <c r="V85" s="13"/>
      <c r="W85" s="13"/>
      <c r="X85" s="13"/>
      <c r="Y85" s="13"/>
      <c r="Z85" s="13"/>
      <c r="AA85" s="13"/>
      <c r="AB85" s="13"/>
      <c r="AC85" s="13"/>
      <c r="AD85" s="13"/>
      <c r="AE85" s="13"/>
      <c r="AF85" s="13"/>
      <c r="AG85" s="13"/>
      <c r="AH85" s="13"/>
      <c r="AI85" s="13"/>
      <c r="AJ85" s="13"/>
      <c r="AK85" s="13"/>
      <c r="AL85" s="13"/>
      <c r="AM85" s="13"/>
      <c r="AN85" s="13"/>
      <c r="AO85" s="13"/>
      <c r="AP85" s="13"/>
    </row>
    <row r="86" spans="1:42" x14ac:dyDescent="0.25">
      <c r="A86" s="2" t="s">
        <v>87</v>
      </c>
      <c r="B86" s="2" t="s">
        <v>91</v>
      </c>
      <c r="C86" s="146" t="s">
        <v>311</v>
      </c>
      <c r="D86" s="146" t="s">
        <v>311</v>
      </c>
      <c r="E86" s="146" t="s">
        <v>311</v>
      </c>
      <c r="F86" s="146" t="s">
        <v>311</v>
      </c>
      <c r="G86" s="146">
        <v>0</v>
      </c>
      <c r="H86" s="146">
        <v>0</v>
      </c>
      <c r="I86" s="147">
        <f t="shared" si="10"/>
        <v>0</v>
      </c>
      <c r="J86" s="24">
        <v>9379</v>
      </c>
      <c r="K86" s="14">
        <v>801</v>
      </c>
      <c r="L86" s="147" t="s">
        <v>311</v>
      </c>
      <c r="M86" s="170" t="s">
        <v>311</v>
      </c>
      <c r="N86" s="146" t="s">
        <v>311</v>
      </c>
      <c r="O86" s="146" t="s">
        <v>311</v>
      </c>
      <c r="P86" s="31">
        <f t="shared" si="11"/>
        <v>0</v>
      </c>
      <c r="Q86" s="31">
        <f t="shared" si="12"/>
        <v>0</v>
      </c>
      <c r="R86" s="114">
        <f t="shared" si="13"/>
        <v>0</v>
      </c>
      <c r="S86" s="1">
        <f t="shared" si="14"/>
        <v>46</v>
      </c>
      <c r="T86" s="137">
        <f t="shared" si="15"/>
        <v>46</v>
      </c>
      <c r="U86" s="13"/>
      <c r="V86" s="13"/>
      <c r="W86" s="13"/>
      <c r="X86" s="13"/>
      <c r="Y86" s="13"/>
      <c r="Z86" s="13"/>
      <c r="AA86" s="13"/>
      <c r="AB86" s="13"/>
      <c r="AC86" s="13"/>
      <c r="AD86" s="13"/>
      <c r="AE86" s="13"/>
      <c r="AF86" s="13"/>
      <c r="AG86" s="13"/>
      <c r="AH86" s="13"/>
      <c r="AI86" s="13"/>
      <c r="AJ86" s="13"/>
      <c r="AK86" s="13"/>
      <c r="AL86" s="13"/>
      <c r="AM86" s="13"/>
      <c r="AN86" s="13"/>
      <c r="AO86" s="13"/>
      <c r="AP86" s="13"/>
    </row>
    <row r="87" spans="1:42" x14ac:dyDescent="0.25">
      <c r="A87" s="2" t="s">
        <v>87</v>
      </c>
      <c r="B87" s="2" t="s">
        <v>92</v>
      </c>
      <c r="C87" s="146">
        <v>31</v>
      </c>
      <c r="D87" s="146">
        <v>0</v>
      </c>
      <c r="E87" s="146">
        <v>2</v>
      </c>
      <c r="F87" s="146">
        <v>0</v>
      </c>
      <c r="G87" s="146">
        <v>0</v>
      </c>
      <c r="H87" s="146">
        <v>0</v>
      </c>
      <c r="I87" s="147">
        <f t="shared" si="10"/>
        <v>0</v>
      </c>
      <c r="J87" s="24">
        <v>3089</v>
      </c>
      <c r="K87" s="14">
        <v>3</v>
      </c>
      <c r="L87" s="33">
        <f t="shared" si="16"/>
        <v>1.0035610229847848E-2</v>
      </c>
      <c r="M87" s="171">
        <f t="shared" si="17"/>
        <v>0</v>
      </c>
      <c r="N87" s="31">
        <f t="shared" si="18"/>
        <v>6.4745872450631275E-4</v>
      </c>
      <c r="O87" s="31">
        <f t="shared" si="19"/>
        <v>0</v>
      </c>
      <c r="P87" s="31">
        <f t="shared" si="11"/>
        <v>0</v>
      </c>
      <c r="Q87" s="31">
        <f t="shared" si="12"/>
        <v>0</v>
      </c>
      <c r="R87" s="114">
        <f t="shared" si="13"/>
        <v>0</v>
      </c>
      <c r="S87" s="1">
        <f t="shared" si="14"/>
        <v>46</v>
      </c>
      <c r="T87" s="137">
        <f t="shared" si="15"/>
        <v>46</v>
      </c>
      <c r="U87" s="13"/>
      <c r="V87" s="13"/>
      <c r="W87" s="13"/>
      <c r="X87" s="13"/>
      <c r="Y87" s="13"/>
      <c r="Z87" s="13"/>
      <c r="AA87" s="13"/>
      <c r="AB87" s="13"/>
      <c r="AC87" s="13"/>
      <c r="AD87" s="13"/>
      <c r="AE87" s="13"/>
      <c r="AF87" s="13"/>
      <c r="AG87" s="13"/>
      <c r="AH87" s="13"/>
      <c r="AI87" s="13"/>
      <c r="AJ87" s="13"/>
      <c r="AK87" s="13"/>
      <c r="AL87" s="13"/>
      <c r="AM87" s="13"/>
      <c r="AN87" s="13"/>
      <c r="AO87" s="13"/>
      <c r="AP87" s="13"/>
    </row>
    <row r="88" spans="1:42" x14ac:dyDescent="0.25">
      <c r="A88" s="2" t="s">
        <v>87</v>
      </c>
      <c r="B88" s="2" t="s">
        <v>93</v>
      </c>
      <c r="C88" s="146">
        <v>0</v>
      </c>
      <c r="D88" s="146">
        <v>0</v>
      </c>
      <c r="E88" s="146">
        <v>17</v>
      </c>
      <c r="F88" s="146">
        <v>0</v>
      </c>
      <c r="G88" s="146">
        <v>2247</v>
      </c>
      <c r="H88" s="146">
        <v>196</v>
      </c>
      <c r="I88" s="147">
        <f t="shared" si="10"/>
        <v>2443</v>
      </c>
      <c r="J88" s="24">
        <v>7497</v>
      </c>
      <c r="K88" s="14">
        <v>2285</v>
      </c>
      <c r="L88" s="33">
        <f t="shared" si="16"/>
        <v>0</v>
      </c>
      <c r="M88" s="171">
        <f t="shared" si="17"/>
        <v>0</v>
      </c>
      <c r="N88" s="31">
        <f t="shared" si="18"/>
        <v>2.2675736961451248E-3</v>
      </c>
      <c r="O88" s="31">
        <f t="shared" si="19"/>
        <v>0</v>
      </c>
      <c r="P88" s="31">
        <f t="shared" si="11"/>
        <v>0.29971988795518206</v>
      </c>
      <c r="Q88" s="31">
        <f t="shared" si="12"/>
        <v>8.5776805251641136E-2</v>
      </c>
      <c r="R88" s="114">
        <f t="shared" si="13"/>
        <v>0.2497444285422204</v>
      </c>
      <c r="S88" s="1">
        <f t="shared" si="14"/>
        <v>12</v>
      </c>
      <c r="T88" s="137">
        <f t="shared" si="15"/>
        <v>8</v>
      </c>
      <c r="U88" s="13"/>
      <c r="V88" s="13"/>
      <c r="W88" s="13"/>
      <c r="X88" s="13"/>
      <c r="Y88" s="13"/>
      <c r="Z88" s="13"/>
      <c r="AA88" s="13"/>
      <c r="AB88" s="13"/>
      <c r="AC88" s="13"/>
      <c r="AD88" s="13"/>
      <c r="AE88" s="13"/>
      <c r="AF88" s="13"/>
      <c r="AG88" s="13"/>
      <c r="AH88" s="13"/>
      <c r="AI88" s="13"/>
      <c r="AJ88" s="13"/>
      <c r="AK88" s="13"/>
      <c r="AL88" s="13"/>
      <c r="AM88" s="13"/>
      <c r="AN88" s="13"/>
      <c r="AO88" s="13"/>
      <c r="AP88" s="13"/>
    </row>
    <row r="89" spans="1:42" x14ac:dyDescent="0.25">
      <c r="A89" s="2" t="s">
        <v>87</v>
      </c>
      <c r="B89" s="2" t="s">
        <v>94</v>
      </c>
      <c r="C89" s="146">
        <v>0</v>
      </c>
      <c r="D89" s="146">
        <v>0</v>
      </c>
      <c r="E89" s="146">
        <v>1</v>
      </c>
      <c r="F89" s="146">
        <v>0</v>
      </c>
      <c r="G89" s="146">
        <v>0</v>
      </c>
      <c r="H89" s="146">
        <v>0</v>
      </c>
      <c r="I89" s="147">
        <f t="shared" si="10"/>
        <v>0</v>
      </c>
      <c r="J89" s="24">
        <v>12817</v>
      </c>
      <c r="K89" s="14">
        <v>4508</v>
      </c>
      <c r="L89" s="33">
        <f t="shared" si="16"/>
        <v>0</v>
      </c>
      <c r="M89" s="171">
        <f t="shared" si="17"/>
        <v>0</v>
      </c>
      <c r="N89" s="31">
        <f t="shared" si="18"/>
        <v>7.8021377857532959E-5</v>
      </c>
      <c r="O89" s="31">
        <f t="shared" si="19"/>
        <v>0</v>
      </c>
      <c r="P89" s="31">
        <f t="shared" si="11"/>
        <v>0</v>
      </c>
      <c r="Q89" s="31">
        <f t="shared" si="12"/>
        <v>0</v>
      </c>
      <c r="R89" s="114">
        <f t="shared" si="13"/>
        <v>0</v>
      </c>
      <c r="S89" s="1">
        <f t="shared" si="14"/>
        <v>46</v>
      </c>
      <c r="T89" s="137">
        <f t="shared" si="15"/>
        <v>46</v>
      </c>
      <c r="U89" s="13"/>
      <c r="V89" s="13"/>
      <c r="W89" s="13"/>
      <c r="X89" s="13"/>
      <c r="Y89" s="13"/>
      <c r="Z89" s="13"/>
      <c r="AA89" s="13"/>
      <c r="AB89" s="13"/>
      <c r="AC89" s="13"/>
      <c r="AD89" s="13"/>
      <c r="AE89" s="13"/>
      <c r="AF89" s="13"/>
      <c r="AG89" s="13"/>
      <c r="AH89" s="13"/>
      <c r="AI89" s="13"/>
      <c r="AJ89" s="13"/>
      <c r="AK89" s="13"/>
      <c r="AL89" s="13"/>
      <c r="AM89" s="13"/>
      <c r="AN89" s="13"/>
      <c r="AO89" s="13"/>
      <c r="AP89" s="13"/>
    </row>
    <row r="90" spans="1:42" x14ac:dyDescent="0.25">
      <c r="A90" s="2" t="s">
        <v>87</v>
      </c>
      <c r="B90" s="2" t="s">
        <v>95</v>
      </c>
      <c r="C90" s="146" t="s">
        <v>311</v>
      </c>
      <c r="D90" s="146" t="s">
        <v>311</v>
      </c>
      <c r="E90" s="146" t="s">
        <v>311</v>
      </c>
      <c r="F90" s="146" t="s">
        <v>311</v>
      </c>
      <c r="G90" s="146">
        <v>418</v>
      </c>
      <c r="H90" s="146">
        <v>0</v>
      </c>
      <c r="I90" s="147">
        <f t="shared" si="10"/>
        <v>418</v>
      </c>
      <c r="J90" s="24">
        <v>1232</v>
      </c>
      <c r="K90" s="14">
        <v>0</v>
      </c>
      <c r="L90" s="147" t="s">
        <v>311</v>
      </c>
      <c r="M90" s="170" t="s">
        <v>311</v>
      </c>
      <c r="N90" s="146" t="s">
        <v>311</v>
      </c>
      <c r="O90" s="146" t="s">
        <v>311</v>
      </c>
      <c r="P90" s="31">
        <f t="shared" si="11"/>
        <v>0.3392857142857143</v>
      </c>
      <c r="Q90" s="31">
        <v>0</v>
      </c>
      <c r="R90" s="114">
        <f t="shared" si="13"/>
        <v>0.3392857142857143</v>
      </c>
      <c r="S90" s="1">
        <f t="shared" si="14"/>
        <v>28</v>
      </c>
      <c r="T90" s="137">
        <f t="shared" si="15"/>
        <v>3</v>
      </c>
      <c r="U90" s="13"/>
      <c r="V90" s="13"/>
      <c r="W90" s="13"/>
      <c r="X90" s="13"/>
      <c r="Y90" s="13"/>
      <c r="Z90" s="13"/>
      <c r="AA90" s="13"/>
      <c r="AB90" s="13"/>
      <c r="AC90" s="13"/>
      <c r="AD90" s="13"/>
      <c r="AE90" s="13"/>
      <c r="AF90" s="13"/>
      <c r="AG90" s="13"/>
      <c r="AH90" s="13"/>
      <c r="AI90" s="13"/>
      <c r="AJ90" s="13"/>
      <c r="AK90" s="13"/>
      <c r="AL90" s="13"/>
      <c r="AM90" s="13"/>
      <c r="AN90" s="13"/>
      <c r="AO90" s="13"/>
      <c r="AP90" s="13"/>
    </row>
    <row r="91" spans="1:42" x14ac:dyDescent="0.25">
      <c r="A91" s="2" t="s">
        <v>87</v>
      </c>
      <c r="B91" s="2" t="s">
        <v>96</v>
      </c>
      <c r="C91" s="146" t="s">
        <v>311</v>
      </c>
      <c r="D91" s="146" t="s">
        <v>311</v>
      </c>
      <c r="E91" s="146" t="s">
        <v>311</v>
      </c>
      <c r="F91" s="146" t="s">
        <v>311</v>
      </c>
      <c r="G91" s="146">
        <v>1495</v>
      </c>
      <c r="H91" s="146">
        <v>184</v>
      </c>
      <c r="I91" s="147">
        <f t="shared" si="10"/>
        <v>1679</v>
      </c>
      <c r="J91" s="24">
        <v>9967</v>
      </c>
      <c r="K91" s="14">
        <v>1777</v>
      </c>
      <c r="L91" s="147" t="s">
        <v>311</v>
      </c>
      <c r="M91" s="170" t="s">
        <v>311</v>
      </c>
      <c r="N91" s="146" t="s">
        <v>311</v>
      </c>
      <c r="O91" s="146" t="s">
        <v>311</v>
      </c>
      <c r="P91" s="31">
        <f t="shared" si="11"/>
        <v>0.14999498344536971</v>
      </c>
      <c r="Q91" s="31">
        <f t="shared" si="12"/>
        <v>0.10354530106921778</v>
      </c>
      <c r="R91" s="114">
        <f t="shared" si="13"/>
        <v>0.14296662125340601</v>
      </c>
      <c r="S91" s="1">
        <f t="shared" si="14"/>
        <v>16</v>
      </c>
      <c r="T91" s="137">
        <f t="shared" si="15"/>
        <v>16</v>
      </c>
      <c r="U91" s="13"/>
      <c r="V91" s="13"/>
      <c r="W91" s="13"/>
      <c r="X91" s="13"/>
      <c r="Y91" s="13"/>
      <c r="Z91" s="13"/>
      <c r="AA91" s="13"/>
      <c r="AB91" s="13"/>
      <c r="AC91" s="13"/>
      <c r="AD91" s="13"/>
      <c r="AE91" s="13"/>
      <c r="AF91" s="13"/>
      <c r="AG91" s="13"/>
      <c r="AH91" s="13"/>
      <c r="AI91" s="13"/>
      <c r="AJ91" s="13"/>
      <c r="AK91" s="13"/>
      <c r="AL91" s="13"/>
      <c r="AM91" s="13"/>
      <c r="AN91" s="13"/>
      <c r="AO91" s="13"/>
      <c r="AP91" s="13"/>
    </row>
    <row r="92" spans="1:42" x14ac:dyDescent="0.25">
      <c r="A92" s="2" t="s">
        <v>87</v>
      </c>
      <c r="B92" s="2" t="s">
        <v>97</v>
      </c>
      <c r="C92" s="146" t="s">
        <v>311</v>
      </c>
      <c r="D92" s="146" t="s">
        <v>311</v>
      </c>
      <c r="E92" s="146" t="s">
        <v>311</v>
      </c>
      <c r="F92" s="146" t="s">
        <v>311</v>
      </c>
      <c r="G92" s="146">
        <v>0</v>
      </c>
      <c r="H92" s="146">
        <v>0</v>
      </c>
      <c r="I92" s="147">
        <f t="shared" si="10"/>
        <v>0</v>
      </c>
      <c r="J92" s="24">
        <v>9463</v>
      </c>
      <c r="K92" s="14">
        <v>6838</v>
      </c>
      <c r="L92" s="147" t="s">
        <v>311</v>
      </c>
      <c r="M92" s="170" t="s">
        <v>311</v>
      </c>
      <c r="N92" s="146" t="s">
        <v>311</v>
      </c>
      <c r="O92" s="146" t="s">
        <v>311</v>
      </c>
      <c r="P92" s="31">
        <f t="shared" si="11"/>
        <v>0</v>
      </c>
      <c r="Q92" s="31">
        <f t="shared" si="12"/>
        <v>0</v>
      </c>
      <c r="R92" s="114">
        <f t="shared" si="13"/>
        <v>0</v>
      </c>
      <c r="S92" s="1">
        <f t="shared" si="14"/>
        <v>46</v>
      </c>
      <c r="T92" s="137">
        <f t="shared" si="15"/>
        <v>46</v>
      </c>
      <c r="U92" s="13"/>
      <c r="V92" s="13"/>
      <c r="W92" s="13"/>
      <c r="X92" s="13"/>
      <c r="Y92" s="13"/>
      <c r="Z92" s="13"/>
      <c r="AA92" s="13"/>
      <c r="AB92" s="13"/>
      <c r="AC92" s="13"/>
      <c r="AD92" s="13"/>
      <c r="AE92" s="13"/>
      <c r="AF92" s="13"/>
      <c r="AG92" s="13"/>
      <c r="AH92" s="13"/>
      <c r="AI92" s="13"/>
      <c r="AJ92" s="13"/>
      <c r="AK92" s="13"/>
      <c r="AL92" s="13"/>
      <c r="AM92" s="13"/>
      <c r="AN92" s="13"/>
      <c r="AO92" s="13"/>
      <c r="AP92" s="13"/>
    </row>
    <row r="93" spans="1:42" x14ac:dyDescent="0.25">
      <c r="A93" s="2" t="s">
        <v>87</v>
      </c>
      <c r="B93" s="2" t="s">
        <v>98</v>
      </c>
      <c r="C93" s="146" t="s">
        <v>311</v>
      </c>
      <c r="D93" s="146" t="s">
        <v>311</v>
      </c>
      <c r="E93" s="146" t="s">
        <v>311</v>
      </c>
      <c r="F93" s="146" t="s">
        <v>311</v>
      </c>
      <c r="G93" s="146">
        <v>0</v>
      </c>
      <c r="H93" s="146">
        <v>0</v>
      </c>
      <c r="I93" s="147">
        <f t="shared" si="10"/>
        <v>0</v>
      </c>
      <c r="J93" s="24">
        <v>15247</v>
      </c>
      <c r="K93" s="14">
        <v>2721</v>
      </c>
      <c r="L93" s="147" t="s">
        <v>311</v>
      </c>
      <c r="M93" s="170" t="s">
        <v>311</v>
      </c>
      <c r="N93" s="146" t="s">
        <v>311</v>
      </c>
      <c r="O93" s="146" t="s">
        <v>311</v>
      </c>
      <c r="P93" s="31">
        <f t="shared" si="11"/>
        <v>0</v>
      </c>
      <c r="Q93" s="31">
        <f t="shared" si="12"/>
        <v>0</v>
      </c>
      <c r="R93" s="114">
        <f t="shared" si="13"/>
        <v>0</v>
      </c>
      <c r="S93" s="1">
        <f t="shared" si="14"/>
        <v>46</v>
      </c>
      <c r="T93" s="137">
        <f t="shared" si="15"/>
        <v>46</v>
      </c>
      <c r="U93" s="13"/>
      <c r="V93" s="13"/>
      <c r="W93" s="13"/>
      <c r="X93" s="13"/>
      <c r="Y93" s="13"/>
      <c r="Z93" s="13"/>
      <c r="AA93" s="13"/>
      <c r="AB93" s="13"/>
      <c r="AC93" s="13"/>
      <c r="AD93" s="13"/>
      <c r="AE93" s="13"/>
      <c r="AF93" s="13"/>
      <c r="AG93" s="13"/>
      <c r="AH93" s="13"/>
      <c r="AI93" s="13"/>
      <c r="AJ93" s="13"/>
      <c r="AK93" s="13"/>
      <c r="AL93" s="13"/>
      <c r="AM93" s="13"/>
      <c r="AN93" s="13"/>
      <c r="AO93" s="13"/>
      <c r="AP93" s="13"/>
    </row>
    <row r="94" spans="1:42" x14ac:dyDescent="0.25">
      <c r="A94" s="2" t="s">
        <v>87</v>
      </c>
      <c r="B94" s="2" t="s">
        <v>99</v>
      </c>
      <c r="C94" s="146">
        <v>0</v>
      </c>
      <c r="D94" s="146">
        <v>0</v>
      </c>
      <c r="E94" s="146">
        <v>103</v>
      </c>
      <c r="F94" s="146">
        <v>2</v>
      </c>
      <c r="G94" s="146">
        <v>59</v>
      </c>
      <c r="H94" s="146">
        <v>52</v>
      </c>
      <c r="I94" s="147">
        <f t="shared" si="10"/>
        <v>111</v>
      </c>
      <c r="J94" s="24">
        <v>173497</v>
      </c>
      <c r="K94" s="14">
        <v>40603</v>
      </c>
      <c r="L94" s="33">
        <f t="shared" si="16"/>
        <v>0</v>
      </c>
      <c r="M94" s="171">
        <f t="shared" si="17"/>
        <v>0</v>
      </c>
      <c r="N94" s="31">
        <f t="shared" si="18"/>
        <v>5.9367020755402109E-4</v>
      </c>
      <c r="O94" s="31">
        <f t="shared" si="19"/>
        <v>4.9257444031229218E-5</v>
      </c>
      <c r="P94" s="31">
        <f t="shared" si="11"/>
        <v>3.4006351694841988E-4</v>
      </c>
      <c r="Q94" s="31">
        <f t="shared" si="12"/>
        <v>1.2806935448119597E-3</v>
      </c>
      <c r="R94" s="114">
        <f t="shared" si="13"/>
        <v>5.1844932274638022E-4</v>
      </c>
      <c r="S94" s="1">
        <f t="shared" si="14"/>
        <v>32</v>
      </c>
      <c r="T94" s="137">
        <f t="shared" si="15"/>
        <v>41</v>
      </c>
      <c r="U94" s="13"/>
      <c r="V94" s="13"/>
      <c r="W94" s="13"/>
      <c r="X94" s="13"/>
      <c r="Y94" s="13"/>
      <c r="Z94" s="13"/>
      <c r="AA94" s="13"/>
      <c r="AB94" s="13"/>
      <c r="AC94" s="13"/>
      <c r="AD94" s="13"/>
      <c r="AE94" s="13"/>
      <c r="AF94" s="13"/>
      <c r="AG94" s="13"/>
      <c r="AH94" s="13"/>
      <c r="AI94" s="13"/>
      <c r="AJ94" s="13"/>
      <c r="AK94" s="13"/>
      <c r="AL94" s="13"/>
      <c r="AM94" s="13"/>
      <c r="AN94" s="13"/>
      <c r="AO94" s="13"/>
      <c r="AP94" s="13"/>
    </row>
    <row r="95" spans="1:42" x14ac:dyDescent="0.25">
      <c r="A95" s="2" t="s">
        <v>87</v>
      </c>
      <c r="B95" s="2" t="s">
        <v>87</v>
      </c>
      <c r="C95" s="146" t="s">
        <v>311</v>
      </c>
      <c r="D95" s="146" t="s">
        <v>311</v>
      </c>
      <c r="E95" s="146" t="s">
        <v>311</v>
      </c>
      <c r="F95" s="146" t="s">
        <v>311</v>
      </c>
      <c r="G95" s="146">
        <v>0</v>
      </c>
      <c r="H95" s="146">
        <v>0</v>
      </c>
      <c r="I95" s="147">
        <f t="shared" si="10"/>
        <v>0</v>
      </c>
      <c r="J95" s="24">
        <v>18560</v>
      </c>
      <c r="K95" s="14">
        <v>7151</v>
      </c>
      <c r="L95" s="147" t="s">
        <v>311</v>
      </c>
      <c r="M95" s="170" t="s">
        <v>311</v>
      </c>
      <c r="N95" s="146" t="s">
        <v>311</v>
      </c>
      <c r="O95" s="146" t="s">
        <v>311</v>
      </c>
      <c r="P95" s="31">
        <f t="shared" si="11"/>
        <v>0</v>
      </c>
      <c r="Q95" s="31">
        <f t="shared" si="12"/>
        <v>0</v>
      </c>
      <c r="R95" s="114">
        <f t="shared" si="13"/>
        <v>0</v>
      </c>
      <c r="S95" s="1">
        <f t="shared" si="14"/>
        <v>46</v>
      </c>
      <c r="T95" s="137">
        <f t="shared" si="15"/>
        <v>46</v>
      </c>
      <c r="U95" s="13"/>
      <c r="V95" s="13"/>
      <c r="W95" s="13"/>
      <c r="X95" s="13"/>
      <c r="Y95" s="13"/>
      <c r="Z95" s="13"/>
      <c r="AA95" s="13"/>
      <c r="AB95" s="13"/>
      <c r="AC95" s="13"/>
      <c r="AD95" s="13"/>
      <c r="AE95" s="13"/>
      <c r="AF95" s="13"/>
      <c r="AG95" s="13"/>
      <c r="AH95" s="13"/>
      <c r="AI95" s="13"/>
      <c r="AJ95" s="13"/>
      <c r="AK95" s="13"/>
      <c r="AL95" s="13"/>
      <c r="AM95" s="13"/>
      <c r="AN95" s="13"/>
      <c r="AO95" s="13"/>
      <c r="AP95" s="13"/>
    </row>
    <row r="96" spans="1:42" x14ac:dyDescent="0.25">
      <c r="A96" s="2" t="s">
        <v>87</v>
      </c>
      <c r="B96" s="2" t="s">
        <v>100</v>
      </c>
      <c r="C96" s="146">
        <v>0</v>
      </c>
      <c r="D96" s="146">
        <v>0</v>
      </c>
      <c r="E96" s="146">
        <v>4</v>
      </c>
      <c r="F96" s="146">
        <v>0</v>
      </c>
      <c r="G96" s="146">
        <v>1765</v>
      </c>
      <c r="H96" s="146">
        <v>217</v>
      </c>
      <c r="I96" s="147">
        <f t="shared" si="10"/>
        <v>1982</v>
      </c>
      <c r="J96" s="24">
        <v>9932</v>
      </c>
      <c r="K96" s="14">
        <v>658</v>
      </c>
      <c r="L96" s="33">
        <f t="shared" si="16"/>
        <v>0</v>
      </c>
      <c r="M96" s="171">
        <f t="shared" si="17"/>
        <v>0</v>
      </c>
      <c r="N96" s="31">
        <f t="shared" si="18"/>
        <v>4.0273862263391061E-4</v>
      </c>
      <c r="O96" s="31">
        <f t="shared" si="19"/>
        <v>0</v>
      </c>
      <c r="P96" s="31">
        <f t="shared" si="11"/>
        <v>0.17770841723721306</v>
      </c>
      <c r="Q96" s="31">
        <f t="shared" si="12"/>
        <v>0.32978723404255317</v>
      </c>
      <c r="R96" s="114">
        <f t="shared" si="13"/>
        <v>0.18715769593956563</v>
      </c>
      <c r="S96" s="1">
        <f t="shared" si="14"/>
        <v>13</v>
      </c>
      <c r="T96" s="137">
        <f t="shared" si="15"/>
        <v>13</v>
      </c>
      <c r="U96" s="13"/>
      <c r="V96" s="13"/>
      <c r="W96" s="13"/>
      <c r="X96" s="13"/>
      <c r="Y96" s="13"/>
      <c r="Z96" s="13"/>
      <c r="AA96" s="13"/>
      <c r="AB96" s="13"/>
      <c r="AC96" s="13"/>
      <c r="AD96" s="13"/>
      <c r="AE96" s="13"/>
      <c r="AF96" s="13"/>
      <c r="AG96" s="13"/>
      <c r="AH96" s="13"/>
      <c r="AI96" s="13"/>
      <c r="AJ96" s="13"/>
      <c r="AK96" s="13"/>
      <c r="AL96" s="13"/>
      <c r="AM96" s="13"/>
      <c r="AN96" s="13"/>
      <c r="AO96" s="13"/>
      <c r="AP96" s="13"/>
    </row>
    <row r="97" spans="1:42" x14ac:dyDescent="0.25">
      <c r="A97" s="2" t="s">
        <v>87</v>
      </c>
      <c r="B97" s="2" t="s">
        <v>101</v>
      </c>
      <c r="C97" s="146" t="s">
        <v>311</v>
      </c>
      <c r="D97" s="146" t="s">
        <v>311</v>
      </c>
      <c r="E97" s="146" t="s">
        <v>311</v>
      </c>
      <c r="F97" s="146" t="s">
        <v>311</v>
      </c>
      <c r="G97" s="146">
        <v>0</v>
      </c>
      <c r="H97" s="146">
        <v>0</v>
      </c>
      <c r="I97" s="147">
        <f t="shared" si="10"/>
        <v>0</v>
      </c>
      <c r="J97" s="24">
        <v>21486</v>
      </c>
      <c r="K97" s="14">
        <v>7995</v>
      </c>
      <c r="L97" s="147" t="s">
        <v>311</v>
      </c>
      <c r="M97" s="170" t="s">
        <v>311</v>
      </c>
      <c r="N97" s="146" t="s">
        <v>311</v>
      </c>
      <c r="O97" s="146" t="s">
        <v>311</v>
      </c>
      <c r="P97" s="31">
        <f t="shared" si="11"/>
        <v>0</v>
      </c>
      <c r="Q97" s="31">
        <f t="shared" si="12"/>
        <v>0</v>
      </c>
      <c r="R97" s="114">
        <f t="shared" si="13"/>
        <v>0</v>
      </c>
      <c r="S97" s="1">
        <f t="shared" si="14"/>
        <v>46</v>
      </c>
      <c r="T97" s="137">
        <f t="shared" si="15"/>
        <v>46</v>
      </c>
      <c r="U97" s="13"/>
      <c r="V97" s="13"/>
      <c r="W97" s="13"/>
      <c r="X97" s="13"/>
      <c r="Y97" s="13"/>
      <c r="Z97" s="13"/>
      <c r="AA97" s="13"/>
      <c r="AB97" s="13"/>
      <c r="AC97" s="13"/>
      <c r="AD97" s="13"/>
      <c r="AE97" s="13"/>
      <c r="AF97" s="13"/>
      <c r="AG97" s="13"/>
      <c r="AH97" s="13"/>
      <c r="AI97" s="13"/>
      <c r="AJ97" s="13"/>
      <c r="AK97" s="13"/>
      <c r="AL97" s="13"/>
      <c r="AM97" s="13"/>
      <c r="AN97" s="13"/>
      <c r="AO97" s="13"/>
      <c r="AP97" s="13"/>
    </row>
    <row r="98" spans="1:42" s="15" customFormat="1" x14ac:dyDescent="0.25">
      <c r="A98" s="15" t="s">
        <v>87</v>
      </c>
      <c r="B98" s="15" t="s">
        <v>102</v>
      </c>
      <c r="C98" s="148">
        <v>865</v>
      </c>
      <c r="D98" s="148">
        <v>2</v>
      </c>
      <c r="E98" s="148">
        <v>2303</v>
      </c>
      <c r="F98" s="148">
        <v>18</v>
      </c>
      <c r="G98" s="148">
        <v>2721</v>
      </c>
      <c r="H98" s="148">
        <v>8</v>
      </c>
      <c r="I98" s="149">
        <f t="shared" si="10"/>
        <v>2729</v>
      </c>
      <c r="J98" s="25">
        <v>19393</v>
      </c>
      <c r="K98" s="18">
        <v>424</v>
      </c>
      <c r="L98" s="34">
        <f t="shared" si="16"/>
        <v>4.4603722992832467E-2</v>
      </c>
      <c r="M98" s="32">
        <f t="shared" si="17"/>
        <v>4.7169811320754715E-3</v>
      </c>
      <c r="N98" s="32">
        <f t="shared" si="18"/>
        <v>0.11875418965606147</v>
      </c>
      <c r="O98" s="32">
        <f t="shared" si="19"/>
        <v>4.2452830188679243E-2</v>
      </c>
      <c r="P98" s="32">
        <f t="shared" si="11"/>
        <v>0.14030835868612385</v>
      </c>
      <c r="Q98" s="32">
        <f t="shared" si="12"/>
        <v>1.8867924528301886E-2</v>
      </c>
      <c r="R98" s="116">
        <f t="shared" si="13"/>
        <v>0.13771004692940406</v>
      </c>
      <c r="S98" s="20">
        <f t="shared" si="14"/>
        <v>8</v>
      </c>
      <c r="T98" s="138">
        <f t="shared" si="15"/>
        <v>18</v>
      </c>
      <c r="U98" s="13"/>
      <c r="V98" s="13"/>
      <c r="W98" s="13"/>
      <c r="X98" s="13"/>
      <c r="Y98" s="13"/>
      <c r="Z98" s="13"/>
      <c r="AA98" s="13"/>
      <c r="AB98" s="13"/>
      <c r="AC98" s="13"/>
      <c r="AD98" s="13"/>
      <c r="AE98" s="13"/>
      <c r="AF98" s="13"/>
      <c r="AG98" s="13"/>
      <c r="AH98" s="13"/>
      <c r="AI98" s="13"/>
      <c r="AJ98" s="13"/>
      <c r="AK98" s="13"/>
      <c r="AL98" s="13"/>
      <c r="AM98" s="13"/>
      <c r="AN98" s="13"/>
      <c r="AO98" s="13"/>
      <c r="AP98" s="13"/>
    </row>
    <row r="99" spans="1:42" x14ac:dyDescent="0.25">
      <c r="A99" s="2" t="s">
        <v>103</v>
      </c>
      <c r="B99" s="2" t="s">
        <v>104</v>
      </c>
      <c r="C99" s="146" t="s">
        <v>311</v>
      </c>
      <c r="D99" s="146" t="s">
        <v>311</v>
      </c>
      <c r="E99" s="146" t="s">
        <v>311</v>
      </c>
      <c r="F99" s="146" t="s">
        <v>311</v>
      </c>
      <c r="G99" s="146">
        <v>0</v>
      </c>
      <c r="H99" s="146">
        <v>0</v>
      </c>
      <c r="I99" s="147">
        <f t="shared" si="10"/>
        <v>0</v>
      </c>
      <c r="J99" s="24">
        <v>7351</v>
      </c>
      <c r="K99" s="14">
        <v>2026</v>
      </c>
      <c r="L99" s="147" t="s">
        <v>311</v>
      </c>
      <c r="M99" s="170" t="s">
        <v>311</v>
      </c>
      <c r="N99" s="146" t="s">
        <v>311</v>
      </c>
      <c r="O99" s="146" t="s">
        <v>311</v>
      </c>
      <c r="P99" s="31">
        <f t="shared" si="11"/>
        <v>0</v>
      </c>
      <c r="Q99" s="31">
        <f t="shared" si="12"/>
        <v>0</v>
      </c>
      <c r="R99" s="114">
        <f t="shared" si="13"/>
        <v>0</v>
      </c>
      <c r="S99" s="1">
        <f t="shared" si="14"/>
        <v>46</v>
      </c>
      <c r="T99" s="137">
        <f t="shared" si="15"/>
        <v>46</v>
      </c>
      <c r="U99" s="13"/>
      <c r="V99" s="13"/>
      <c r="W99" s="13"/>
      <c r="X99" s="13"/>
      <c r="Y99" s="13"/>
      <c r="Z99" s="13"/>
      <c r="AA99" s="13"/>
      <c r="AB99" s="13"/>
      <c r="AC99" s="13"/>
      <c r="AD99" s="13"/>
      <c r="AE99" s="13"/>
      <c r="AF99" s="13"/>
      <c r="AG99" s="13"/>
      <c r="AH99" s="13"/>
      <c r="AI99" s="13"/>
      <c r="AJ99" s="13"/>
      <c r="AK99" s="13"/>
      <c r="AL99" s="13"/>
      <c r="AM99" s="13"/>
      <c r="AN99" s="13"/>
      <c r="AO99" s="13"/>
      <c r="AP99" s="13"/>
    </row>
    <row r="100" spans="1:42" x14ac:dyDescent="0.25">
      <c r="A100" s="2" t="s">
        <v>103</v>
      </c>
      <c r="B100" s="2" t="s">
        <v>105</v>
      </c>
      <c r="C100" s="146" t="s">
        <v>311</v>
      </c>
      <c r="D100" s="146" t="s">
        <v>311</v>
      </c>
      <c r="E100" s="146" t="s">
        <v>311</v>
      </c>
      <c r="F100" s="146" t="s">
        <v>311</v>
      </c>
      <c r="G100" s="146">
        <v>0</v>
      </c>
      <c r="H100" s="146">
        <v>0</v>
      </c>
      <c r="I100" s="147">
        <f t="shared" si="10"/>
        <v>0</v>
      </c>
      <c r="J100" s="24">
        <v>5110</v>
      </c>
      <c r="K100" s="14">
        <v>257</v>
      </c>
      <c r="L100" s="147" t="s">
        <v>311</v>
      </c>
      <c r="M100" s="170" t="s">
        <v>311</v>
      </c>
      <c r="N100" s="146" t="s">
        <v>311</v>
      </c>
      <c r="O100" s="146" t="s">
        <v>311</v>
      </c>
      <c r="P100" s="31">
        <f t="shared" si="11"/>
        <v>0</v>
      </c>
      <c r="Q100" s="31">
        <f t="shared" si="12"/>
        <v>0</v>
      </c>
      <c r="R100" s="114">
        <f t="shared" si="13"/>
        <v>0</v>
      </c>
      <c r="S100" s="1">
        <f t="shared" si="14"/>
        <v>46</v>
      </c>
      <c r="T100" s="137">
        <f t="shared" si="15"/>
        <v>46</v>
      </c>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row>
    <row r="101" spans="1:42" x14ac:dyDescent="0.25">
      <c r="A101" s="2" t="s">
        <v>103</v>
      </c>
      <c r="B101" s="2" t="s">
        <v>106</v>
      </c>
      <c r="C101" s="146">
        <v>3</v>
      </c>
      <c r="D101" s="146">
        <v>0</v>
      </c>
      <c r="E101" s="146">
        <v>0</v>
      </c>
      <c r="F101" s="146">
        <v>0</v>
      </c>
      <c r="G101" s="146">
        <v>0</v>
      </c>
      <c r="H101" s="146">
        <v>0</v>
      </c>
      <c r="I101" s="147">
        <f t="shared" si="10"/>
        <v>0</v>
      </c>
      <c r="J101" s="24">
        <v>27746</v>
      </c>
      <c r="K101" s="14">
        <v>2232</v>
      </c>
      <c r="L101" s="33">
        <f t="shared" si="16"/>
        <v>1.0812369350537015E-4</v>
      </c>
      <c r="M101" s="171">
        <f t="shared" si="17"/>
        <v>0</v>
      </c>
      <c r="N101" s="31">
        <f t="shared" si="18"/>
        <v>0</v>
      </c>
      <c r="O101" s="31">
        <f t="shared" si="19"/>
        <v>0</v>
      </c>
      <c r="P101" s="31">
        <f t="shared" si="11"/>
        <v>0</v>
      </c>
      <c r="Q101" s="31">
        <f t="shared" si="12"/>
        <v>0</v>
      </c>
      <c r="R101" s="114">
        <f t="shared" si="13"/>
        <v>0</v>
      </c>
      <c r="S101" s="1">
        <f t="shared" si="14"/>
        <v>46</v>
      </c>
      <c r="T101" s="137">
        <f t="shared" si="15"/>
        <v>46</v>
      </c>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row>
    <row r="102" spans="1:42" x14ac:dyDescent="0.25">
      <c r="A102" s="2" t="s">
        <v>103</v>
      </c>
      <c r="B102" s="2" t="s">
        <v>107</v>
      </c>
      <c r="C102" s="146" t="s">
        <v>311</v>
      </c>
      <c r="D102" s="146" t="s">
        <v>311</v>
      </c>
      <c r="E102" s="146" t="s">
        <v>311</v>
      </c>
      <c r="F102" s="146" t="s">
        <v>311</v>
      </c>
      <c r="G102" s="146">
        <v>0</v>
      </c>
      <c r="H102" s="146">
        <v>0</v>
      </c>
      <c r="I102" s="147">
        <f t="shared" si="10"/>
        <v>0</v>
      </c>
      <c r="J102" s="24">
        <v>4504</v>
      </c>
      <c r="K102" s="14">
        <v>117</v>
      </c>
      <c r="L102" s="147" t="s">
        <v>311</v>
      </c>
      <c r="M102" s="170" t="s">
        <v>311</v>
      </c>
      <c r="N102" s="146" t="s">
        <v>311</v>
      </c>
      <c r="O102" s="146" t="s">
        <v>311</v>
      </c>
      <c r="P102" s="31">
        <f t="shared" si="11"/>
        <v>0</v>
      </c>
      <c r="Q102" s="31">
        <f t="shared" si="12"/>
        <v>0</v>
      </c>
      <c r="R102" s="114">
        <f t="shared" si="13"/>
        <v>0</v>
      </c>
      <c r="S102" s="1">
        <f t="shared" si="14"/>
        <v>46</v>
      </c>
      <c r="T102" s="137">
        <f t="shared" si="15"/>
        <v>46</v>
      </c>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row>
    <row r="103" spans="1:42" x14ac:dyDescent="0.25">
      <c r="A103" s="2" t="s">
        <v>103</v>
      </c>
      <c r="B103" s="2" t="s">
        <v>108</v>
      </c>
      <c r="C103" s="146" t="s">
        <v>311</v>
      </c>
      <c r="D103" s="146" t="s">
        <v>311</v>
      </c>
      <c r="E103" s="146" t="s">
        <v>311</v>
      </c>
      <c r="F103" s="146" t="s">
        <v>311</v>
      </c>
      <c r="G103" s="146">
        <v>0</v>
      </c>
      <c r="H103" s="146">
        <v>0</v>
      </c>
      <c r="I103" s="147">
        <f t="shared" si="10"/>
        <v>0</v>
      </c>
      <c r="J103" s="24">
        <v>8101</v>
      </c>
      <c r="K103" s="14">
        <v>91</v>
      </c>
      <c r="L103" s="147" t="s">
        <v>311</v>
      </c>
      <c r="M103" s="170" t="s">
        <v>311</v>
      </c>
      <c r="N103" s="146" t="s">
        <v>311</v>
      </c>
      <c r="O103" s="146" t="s">
        <v>311</v>
      </c>
      <c r="P103" s="31">
        <f t="shared" si="11"/>
        <v>0</v>
      </c>
      <c r="Q103" s="31">
        <f t="shared" si="12"/>
        <v>0</v>
      </c>
      <c r="R103" s="114">
        <f t="shared" si="13"/>
        <v>0</v>
      </c>
      <c r="S103" s="1">
        <f t="shared" si="14"/>
        <v>46</v>
      </c>
      <c r="T103" s="137">
        <f t="shared" si="15"/>
        <v>46</v>
      </c>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row>
    <row r="104" spans="1:42" x14ac:dyDescent="0.25">
      <c r="A104" s="2" t="s">
        <v>103</v>
      </c>
      <c r="B104" s="2" t="s">
        <v>109</v>
      </c>
      <c r="C104" s="146">
        <v>1676</v>
      </c>
      <c r="D104" s="146">
        <v>25</v>
      </c>
      <c r="E104" s="146">
        <v>220</v>
      </c>
      <c r="F104" s="146">
        <v>2</v>
      </c>
      <c r="G104" s="146">
        <v>20</v>
      </c>
      <c r="H104" s="146">
        <v>0</v>
      </c>
      <c r="I104" s="147">
        <f t="shared" si="10"/>
        <v>20</v>
      </c>
      <c r="J104" s="24">
        <v>5299</v>
      </c>
      <c r="K104" s="14">
        <v>216</v>
      </c>
      <c r="L104" s="33">
        <f t="shared" si="16"/>
        <v>0.31628609171541799</v>
      </c>
      <c r="M104" s="171">
        <f t="shared" si="17"/>
        <v>0.11574074074074074</v>
      </c>
      <c r="N104" s="31">
        <f t="shared" si="18"/>
        <v>4.1517267408945083E-2</v>
      </c>
      <c r="O104" s="31">
        <f t="shared" si="19"/>
        <v>9.2592592592592587E-3</v>
      </c>
      <c r="P104" s="31">
        <f t="shared" si="11"/>
        <v>3.7742970371768257E-3</v>
      </c>
      <c r="Q104" s="31">
        <f t="shared" si="12"/>
        <v>0</v>
      </c>
      <c r="R104" s="114">
        <f t="shared" si="13"/>
        <v>3.6264732547597461E-3</v>
      </c>
      <c r="S104" s="1">
        <f t="shared" si="14"/>
        <v>37</v>
      </c>
      <c r="T104" s="137">
        <f t="shared" si="15"/>
        <v>36</v>
      </c>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row>
    <row r="105" spans="1:42" x14ac:dyDescent="0.25">
      <c r="A105" s="2" t="s">
        <v>103</v>
      </c>
      <c r="B105" s="2" t="s">
        <v>110</v>
      </c>
      <c r="C105" s="146" t="s">
        <v>311</v>
      </c>
      <c r="D105" s="146" t="s">
        <v>311</v>
      </c>
      <c r="E105" s="146" t="s">
        <v>311</v>
      </c>
      <c r="F105" s="146" t="s">
        <v>311</v>
      </c>
      <c r="G105" s="146">
        <v>0</v>
      </c>
      <c r="H105" s="146">
        <v>0</v>
      </c>
      <c r="I105" s="147">
        <f t="shared" si="10"/>
        <v>0</v>
      </c>
      <c r="J105" s="24">
        <v>25795</v>
      </c>
      <c r="K105" s="14">
        <v>1537</v>
      </c>
      <c r="L105" s="147" t="s">
        <v>311</v>
      </c>
      <c r="M105" s="170" t="s">
        <v>311</v>
      </c>
      <c r="N105" s="146" t="s">
        <v>311</v>
      </c>
      <c r="O105" s="146" t="s">
        <v>311</v>
      </c>
      <c r="P105" s="31">
        <f t="shared" si="11"/>
        <v>0</v>
      </c>
      <c r="Q105" s="31">
        <f t="shared" si="12"/>
        <v>0</v>
      </c>
      <c r="R105" s="114">
        <f t="shared" si="13"/>
        <v>0</v>
      </c>
      <c r="S105" s="1">
        <f t="shared" si="14"/>
        <v>46</v>
      </c>
      <c r="T105" s="137">
        <f t="shared" si="15"/>
        <v>46</v>
      </c>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row>
    <row r="106" spans="1:42" s="15" customFormat="1" x14ac:dyDescent="0.25">
      <c r="A106" s="15" t="s">
        <v>103</v>
      </c>
      <c r="B106" s="15" t="s">
        <v>111</v>
      </c>
      <c r="C106" s="148">
        <v>0</v>
      </c>
      <c r="D106" s="148">
        <v>0</v>
      </c>
      <c r="E106" s="148">
        <v>6</v>
      </c>
      <c r="F106" s="148">
        <v>0</v>
      </c>
      <c r="G106" s="148">
        <v>0</v>
      </c>
      <c r="H106" s="148">
        <v>0</v>
      </c>
      <c r="I106" s="149">
        <f t="shared" si="10"/>
        <v>0</v>
      </c>
      <c r="J106" s="25">
        <v>29921</v>
      </c>
      <c r="K106" s="18">
        <v>5331</v>
      </c>
      <c r="L106" s="34">
        <f t="shared" si="16"/>
        <v>0</v>
      </c>
      <c r="M106" s="32">
        <f t="shared" si="17"/>
        <v>0</v>
      </c>
      <c r="N106" s="32">
        <f t="shared" si="18"/>
        <v>2.00528057217339E-4</v>
      </c>
      <c r="O106" s="32">
        <f t="shared" si="19"/>
        <v>0</v>
      </c>
      <c r="P106" s="32">
        <f t="shared" si="11"/>
        <v>0</v>
      </c>
      <c r="Q106" s="32">
        <f t="shared" si="12"/>
        <v>0</v>
      </c>
      <c r="R106" s="116">
        <f t="shared" si="13"/>
        <v>0</v>
      </c>
      <c r="S106" s="20">
        <f t="shared" si="14"/>
        <v>46</v>
      </c>
      <c r="T106" s="138">
        <f t="shared" si="15"/>
        <v>46</v>
      </c>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row>
    <row r="107" spans="1:42" x14ac:dyDescent="0.25">
      <c r="A107" s="2" t="s">
        <v>112</v>
      </c>
      <c r="B107" s="2" t="s">
        <v>135</v>
      </c>
      <c r="C107" s="146" t="s">
        <v>311</v>
      </c>
      <c r="D107" s="146" t="s">
        <v>311</v>
      </c>
      <c r="E107" s="146" t="s">
        <v>311</v>
      </c>
      <c r="F107" s="146" t="s">
        <v>311</v>
      </c>
      <c r="G107" s="146">
        <v>39</v>
      </c>
      <c r="H107" s="146">
        <v>1</v>
      </c>
      <c r="I107" s="147">
        <f t="shared" si="10"/>
        <v>40</v>
      </c>
      <c r="J107" s="24">
        <v>2549</v>
      </c>
      <c r="K107" s="14">
        <v>342</v>
      </c>
      <c r="L107" s="147" t="s">
        <v>311</v>
      </c>
      <c r="M107" s="170" t="s">
        <v>311</v>
      </c>
      <c r="N107" s="146" t="s">
        <v>311</v>
      </c>
      <c r="O107" s="146" t="s">
        <v>311</v>
      </c>
      <c r="P107" s="31">
        <f t="shared" si="11"/>
        <v>1.5300117693213025E-2</v>
      </c>
      <c r="Q107" s="31">
        <f t="shared" si="12"/>
        <v>2.9239766081871343E-3</v>
      </c>
      <c r="R107" s="114">
        <f t="shared" si="13"/>
        <v>1.3836042891732965E-2</v>
      </c>
      <c r="S107" s="1">
        <f t="shared" si="14"/>
        <v>36</v>
      </c>
      <c r="T107" s="137">
        <f t="shared" si="15"/>
        <v>32</v>
      </c>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row>
    <row r="108" spans="1:42" x14ac:dyDescent="0.25">
      <c r="A108" s="2" t="s">
        <v>112</v>
      </c>
      <c r="B108" s="2" t="s">
        <v>113</v>
      </c>
      <c r="C108" s="146" t="s">
        <v>311</v>
      </c>
      <c r="D108" s="146" t="s">
        <v>311</v>
      </c>
      <c r="E108" s="146" t="s">
        <v>311</v>
      </c>
      <c r="F108" s="146" t="s">
        <v>311</v>
      </c>
      <c r="G108" s="146">
        <v>0</v>
      </c>
      <c r="H108" s="146">
        <v>0</v>
      </c>
      <c r="I108" s="147">
        <f t="shared" si="10"/>
        <v>0</v>
      </c>
      <c r="J108" s="24">
        <v>1423</v>
      </c>
      <c r="K108" s="14">
        <v>659</v>
      </c>
      <c r="L108" s="147" t="s">
        <v>311</v>
      </c>
      <c r="M108" s="170" t="s">
        <v>311</v>
      </c>
      <c r="N108" s="146" t="s">
        <v>311</v>
      </c>
      <c r="O108" s="146" t="s">
        <v>311</v>
      </c>
      <c r="P108" s="31">
        <f t="shared" si="11"/>
        <v>0</v>
      </c>
      <c r="Q108" s="31">
        <f t="shared" si="12"/>
        <v>0</v>
      </c>
      <c r="R108" s="114">
        <f t="shared" si="13"/>
        <v>0</v>
      </c>
      <c r="S108" s="1">
        <f t="shared" si="14"/>
        <v>46</v>
      </c>
      <c r="T108" s="137">
        <f t="shared" si="15"/>
        <v>46</v>
      </c>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row>
    <row r="109" spans="1:42" x14ac:dyDescent="0.25">
      <c r="A109" s="2" t="s">
        <v>112</v>
      </c>
      <c r="B109" s="2" t="s">
        <v>114</v>
      </c>
      <c r="C109" s="146">
        <v>5</v>
      </c>
      <c r="D109" s="146">
        <v>0</v>
      </c>
      <c r="E109" s="146">
        <v>1</v>
      </c>
      <c r="F109" s="146">
        <v>0</v>
      </c>
      <c r="G109" s="146">
        <v>0</v>
      </c>
      <c r="H109" s="146">
        <v>0</v>
      </c>
      <c r="I109" s="147">
        <f t="shared" si="10"/>
        <v>0</v>
      </c>
      <c r="J109" s="24">
        <v>3182</v>
      </c>
      <c r="K109" s="14">
        <v>667</v>
      </c>
      <c r="L109" s="33">
        <f t="shared" si="16"/>
        <v>1.5713387806411063E-3</v>
      </c>
      <c r="M109" s="171">
        <f t="shared" si="17"/>
        <v>0</v>
      </c>
      <c r="N109" s="31">
        <f t="shared" si="18"/>
        <v>3.1426775612822125E-4</v>
      </c>
      <c r="O109" s="31">
        <f t="shared" si="19"/>
        <v>0</v>
      </c>
      <c r="P109" s="31">
        <f t="shared" si="11"/>
        <v>0</v>
      </c>
      <c r="Q109" s="31">
        <f t="shared" si="12"/>
        <v>0</v>
      </c>
      <c r="R109" s="114">
        <f t="shared" si="13"/>
        <v>0</v>
      </c>
      <c r="S109" s="1">
        <f t="shared" si="14"/>
        <v>46</v>
      </c>
      <c r="T109" s="137">
        <f t="shared" si="15"/>
        <v>46</v>
      </c>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row>
    <row r="110" spans="1:42" x14ac:dyDescent="0.25">
      <c r="A110" s="2" t="s">
        <v>112</v>
      </c>
      <c r="B110" s="2" t="s">
        <v>115</v>
      </c>
      <c r="C110" s="146">
        <v>131</v>
      </c>
      <c r="D110" s="146">
        <v>125</v>
      </c>
      <c r="E110" s="146">
        <v>0</v>
      </c>
      <c r="F110" s="146">
        <v>0</v>
      </c>
      <c r="G110" s="146">
        <v>0</v>
      </c>
      <c r="H110" s="146">
        <v>0</v>
      </c>
      <c r="I110" s="147">
        <f t="shared" si="10"/>
        <v>0</v>
      </c>
      <c r="J110" s="24">
        <v>14844</v>
      </c>
      <c r="K110" s="14">
        <v>2015</v>
      </c>
      <c r="L110" s="33">
        <f t="shared" si="16"/>
        <v>8.8251145243869577E-3</v>
      </c>
      <c r="M110" s="171">
        <f t="shared" si="17"/>
        <v>6.2034739454094295E-2</v>
      </c>
      <c r="N110" s="31">
        <f t="shared" si="18"/>
        <v>0</v>
      </c>
      <c r="O110" s="31">
        <f t="shared" si="19"/>
        <v>0</v>
      </c>
      <c r="P110" s="31">
        <f t="shared" si="11"/>
        <v>0</v>
      </c>
      <c r="Q110" s="31">
        <f t="shared" si="12"/>
        <v>0</v>
      </c>
      <c r="R110" s="114">
        <f t="shared" si="13"/>
        <v>0</v>
      </c>
      <c r="S110" s="1">
        <f t="shared" si="14"/>
        <v>46</v>
      </c>
      <c r="T110" s="137">
        <f t="shared" si="15"/>
        <v>46</v>
      </c>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row>
    <row r="111" spans="1:42" x14ac:dyDescent="0.25">
      <c r="A111" s="2" t="s">
        <v>112</v>
      </c>
      <c r="B111" s="2" t="s">
        <v>116</v>
      </c>
      <c r="C111" s="146" t="s">
        <v>311</v>
      </c>
      <c r="D111" s="146" t="s">
        <v>311</v>
      </c>
      <c r="E111" s="146" t="s">
        <v>311</v>
      </c>
      <c r="F111" s="146" t="s">
        <v>311</v>
      </c>
      <c r="G111" s="146">
        <v>0</v>
      </c>
      <c r="H111" s="146">
        <v>0</v>
      </c>
      <c r="I111" s="147">
        <f t="shared" si="10"/>
        <v>0</v>
      </c>
      <c r="J111" s="24">
        <v>8013</v>
      </c>
      <c r="K111" s="14">
        <v>2135</v>
      </c>
      <c r="L111" s="147" t="s">
        <v>311</v>
      </c>
      <c r="M111" s="170" t="s">
        <v>311</v>
      </c>
      <c r="N111" s="146" t="s">
        <v>311</v>
      </c>
      <c r="O111" s="146" t="s">
        <v>311</v>
      </c>
      <c r="P111" s="31">
        <f t="shared" si="11"/>
        <v>0</v>
      </c>
      <c r="Q111" s="31">
        <f t="shared" si="12"/>
        <v>0</v>
      </c>
      <c r="R111" s="114">
        <f t="shared" si="13"/>
        <v>0</v>
      </c>
      <c r="S111" s="1">
        <f t="shared" si="14"/>
        <v>46</v>
      </c>
      <c r="T111" s="137">
        <f t="shared" si="15"/>
        <v>46</v>
      </c>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row>
    <row r="112" spans="1:42" x14ac:dyDescent="0.25">
      <c r="A112" s="2" t="s">
        <v>112</v>
      </c>
      <c r="B112" s="2" t="s">
        <v>117</v>
      </c>
      <c r="C112" s="146">
        <v>28</v>
      </c>
      <c r="D112" s="146">
        <v>0</v>
      </c>
      <c r="E112" s="146">
        <v>11</v>
      </c>
      <c r="F112" s="146">
        <v>0</v>
      </c>
      <c r="G112" s="146">
        <v>959</v>
      </c>
      <c r="H112" s="146">
        <v>98</v>
      </c>
      <c r="I112" s="147">
        <f t="shared" si="10"/>
        <v>1057</v>
      </c>
      <c r="J112" s="24">
        <v>39202</v>
      </c>
      <c r="K112" s="14">
        <v>8516</v>
      </c>
      <c r="L112" s="33">
        <f t="shared" si="16"/>
        <v>7.1424927299627568E-4</v>
      </c>
      <c r="M112" s="171">
        <f t="shared" si="17"/>
        <v>0</v>
      </c>
      <c r="N112" s="31">
        <f t="shared" si="18"/>
        <v>2.805979286771083E-4</v>
      </c>
      <c r="O112" s="31">
        <f t="shared" si="19"/>
        <v>0</v>
      </c>
      <c r="P112" s="31">
        <f t="shared" si="11"/>
        <v>2.4463037600122441E-2</v>
      </c>
      <c r="Q112" s="31">
        <f t="shared" si="12"/>
        <v>1.1507750117426021E-2</v>
      </c>
      <c r="R112" s="114">
        <f t="shared" si="13"/>
        <v>2.2150970283750366E-2</v>
      </c>
      <c r="S112" s="1">
        <f t="shared" si="14"/>
        <v>21</v>
      </c>
      <c r="T112" s="137">
        <f t="shared" si="15"/>
        <v>29</v>
      </c>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row>
    <row r="113" spans="1:42" x14ac:dyDescent="0.25">
      <c r="A113" s="2" t="s">
        <v>112</v>
      </c>
      <c r="B113" s="2" t="s">
        <v>118</v>
      </c>
      <c r="C113" s="146" t="s">
        <v>311</v>
      </c>
      <c r="D113" s="146" t="s">
        <v>311</v>
      </c>
      <c r="E113" s="146" t="s">
        <v>311</v>
      </c>
      <c r="F113" s="146" t="s">
        <v>311</v>
      </c>
      <c r="G113" s="146">
        <v>0</v>
      </c>
      <c r="H113" s="146">
        <v>0</v>
      </c>
      <c r="I113" s="147">
        <f t="shared" si="10"/>
        <v>0</v>
      </c>
      <c r="J113" s="24">
        <v>1798</v>
      </c>
      <c r="K113" s="14">
        <v>527</v>
      </c>
      <c r="L113" s="147" t="s">
        <v>311</v>
      </c>
      <c r="M113" s="170" t="s">
        <v>311</v>
      </c>
      <c r="N113" s="146" t="s">
        <v>311</v>
      </c>
      <c r="O113" s="146" t="s">
        <v>311</v>
      </c>
      <c r="P113" s="31">
        <f t="shared" si="11"/>
        <v>0</v>
      </c>
      <c r="Q113" s="31">
        <f t="shared" si="12"/>
        <v>0</v>
      </c>
      <c r="R113" s="114">
        <f t="shared" si="13"/>
        <v>0</v>
      </c>
      <c r="S113" s="1">
        <f t="shared" si="14"/>
        <v>46</v>
      </c>
      <c r="T113" s="137">
        <f t="shared" si="15"/>
        <v>46</v>
      </c>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row>
    <row r="114" spans="1:42" x14ac:dyDescent="0.25">
      <c r="A114" s="2" t="s">
        <v>112</v>
      </c>
      <c r="B114" s="2" t="s">
        <v>112</v>
      </c>
      <c r="C114" s="146" t="s">
        <v>311</v>
      </c>
      <c r="D114" s="146" t="s">
        <v>311</v>
      </c>
      <c r="E114" s="146" t="s">
        <v>311</v>
      </c>
      <c r="F114" s="146" t="s">
        <v>311</v>
      </c>
      <c r="G114" s="146">
        <v>0</v>
      </c>
      <c r="H114" s="146">
        <v>0</v>
      </c>
      <c r="I114" s="147">
        <f t="shared" si="10"/>
        <v>0</v>
      </c>
      <c r="J114" s="24">
        <v>2732</v>
      </c>
      <c r="K114" s="14">
        <v>1034</v>
      </c>
      <c r="L114" s="147" t="s">
        <v>311</v>
      </c>
      <c r="M114" s="170" t="s">
        <v>311</v>
      </c>
      <c r="N114" s="146" t="s">
        <v>311</v>
      </c>
      <c r="O114" s="31" t="s">
        <v>311</v>
      </c>
      <c r="P114" s="31">
        <f t="shared" si="11"/>
        <v>0</v>
      </c>
      <c r="Q114" s="31">
        <f t="shared" si="12"/>
        <v>0</v>
      </c>
      <c r="R114" s="114">
        <f t="shared" si="13"/>
        <v>0</v>
      </c>
      <c r="S114" s="1">
        <f t="shared" si="14"/>
        <v>46</v>
      </c>
      <c r="T114" s="137">
        <f t="shared" si="15"/>
        <v>46</v>
      </c>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row>
    <row r="115" spans="1:42" x14ac:dyDescent="0.25">
      <c r="A115" s="2" t="s">
        <v>112</v>
      </c>
      <c r="B115" s="2" t="s">
        <v>119</v>
      </c>
      <c r="C115" s="146">
        <v>18091</v>
      </c>
      <c r="D115" s="146">
        <v>879</v>
      </c>
      <c r="E115" s="146">
        <v>7101</v>
      </c>
      <c r="F115" s="146">
        <v>231</v>
      </c>
      <c r="G115" s="146">
        <v>1484</v>
      </c>
      <c r="H115" s="146">
        <v>89</v>
      </c>
      <c r="I115" s="147">
        <f t="shared" si="10"/>
        <v>1573</v>
      </c>
      <c r="J115" s="24">
        <v>48377</v>
      </c>
      <c r="K115" s="14">
        <v>3023</v>
      </c>
      <c r="L115" s="33">
        <f t="shared" si="16"/>
        <v>0.37395869938193771</v>
      </c>
      <c r="M115" s="171">
        <f t="shared" si="17"/>
        <v>0.2907707575256368</v>
      </c>
      <c r="N115" s="31">
        <f t="shared" si="18"/>
        <v>0.1467846290592637</v>
      </c>
      <c r="O115" s="31">
        <f t="shared" si="19"/>
        <v>7.6414158121071787E-2</v>
      </c>
      <c r="P115" s="31">
        <f t="shared" si="11"/>
        <v>3.0675734336564897E-2</v>
      </c>
      <c r="Q115" s="31">
        <f t="shared" si="12"/>
        <v>2.9440952695997353E-2</v>
      </c>
      <c r="R115" s="114">
        <f t="shared" si="13"/>
        <v>3.0603112840466927E-2</v>
      </c>
      <c r="S115" s="1">
        <f t="shared" si="14"/>
        <v>17</v>
      </c>
      <c r="T115" s="137">
        <f t="shared" si="15"/>
        <v>26</v>
      </c>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row>
    <row r="116" spans="1:42" s="15" customFormat="1" x14ac:dyDescent="0.25">
      <c r="A116" s="15" t="s">
        <v>112</v>
      </c>
      <c r="B116" s="15" t="s">
        <v>120</v>
      </c>
      <c r="C116" s="148" t="s">
        <v>311</v>
      </c>
      <c r="D116" s="148" t="s">
        <v>311</v>
      </c>
      <c r="E116" s="148" t="s">
        <v>311</v>
      </c>
      <c r="F116" s="148" t="s">
        <v>311</v>
      </c>
      <c r="G116" s="148">
        <v>0</v>
      </c>
      <c r="H116" s="148">
        <v>0</v>
      </c>
      <c r="I116" s="149">
        <f t="shared" si="10"/>
        <v>0</v>
      </c>
      <c r="J116" s="25">
        <v>7371</v>
      </c>
      <c r="K116" s="18">
        <v>694</v>
      </c>
      <c r="L116" s="149" t="s">
        <v>311</v>
      </c>
      <c r="M116" s="148" t="s">
        <v>311</v>
      </c>
      <c r="N116" s="148" t="s">
        <v>311</v>
      </c>
      <c r="O116" s="148" t="s">
        <v>311</v>
      </c>
      <c r="P116" s="32">
        <f t="shared" si="11"/>
        <v>0</v>
      </c>
      <c r="Q116" s="32">
        <f t="shared" si="12"/>
        <v>0</v>
      </c>
      <c r="R116" s="116">
        <f t="shared" si="13"/>
        <v>0</v>
      </c>
      <c r="S116" s="20">
        <f t="shared" si="14"/>
        <v>46</v>
      </c>
      <c r="T116" s="138">
        <f t="shared" si="15"/>
        <v>46</v>
      </c>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row>
    <row r="117" spans="1:42" x14ac:dyDescent="0.25">
      <c r="H117" s="13"/>
      <c r="I117" s="13"/>
      <c r="J117" s="13"/>
      <c r="K117" s="13"/>
      <c r="L117" s="13"/>
      <c r="M117" s="13"/>
      <c r="N117" s="13"/>
      <c r="O117" s="13"/>
      <c r="P117" s="13"/>
      <c r="Q117" s="13"/>
      <c r="R117" s="13"/>
      <c r="S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row>
    <row r="118" spans="1:42" x14ac:dyDescent="0.25">
      <c r="H118" s="13"/>
      <c r="I118" s="13"/>
      <c r="J118" s="13"/>
      <c r="K118" s="13"/>
      <c r="L118" s="13"/>
      <c r="M118" s="13"/>
      <c r="N118" s="13"/>
      <c r="O118" s="13"/>
      <c r="P118" s="13"/>
      <c r="Q118" s="13"/>
      <c r="R118" s="13"/>
      <c r="S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row>
    <row r="119" spans="1:42" x14ac:dyDescent="0.25">
      <c r="H119" s="13"/>
      <c r="I119" s="13"/>
      <c r="J119" s="13"/>
      <c r="K119" s="13"/>
      <c r="L119" s="13"/>
      <c r="M119" s="13"/>
      <c r="N119" s="13"/>
      <c r="O119" s="13"/>
      <c r="P119" s="13"/>
      <c r="Q119" s="13"/>
      <c r="R119" s="13"/>
      <c r="S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1:42" x14ac:dyDescent="0.25">
      <c r="H120" s="13"/>
      <c r="I120" s="13"/>
      <c r="J120" s="13"/>
      <c r="K120" s="13"/>
      <c r="L120" s="13"/>
      <c r="M120" s="13"/>
      <c r="N120" s="13"/>
      <c r="O120" s="13"/>
      <c r="P120" s="13"/>
      <c r="Q120" s="13"/>
      <c r="R120" s="13"/>
      <c r="S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row>
    <row r="121" spans="1:42" x14ac:dyDescent="0.25">
      <c r="H121" s="13"/>
      <c r="I121" s="13"/>
      <c r="J121" s="13"/>
      <c r="K121" s="13"/>
      <c r="L121" s="13"/>
      <c r="M121" s="13"/>
      <c r="N121" s="13"/>
      <c r="O121" s="13"/>
      <c r="P121" s="13"/>
      <c r="Q121" s="13"/>
      <c r="R121" s="13"/>
      <c r="S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row>
    <row r="122" spans="1:42" x14ac:dyDescent="0.25">
      <c r="H122" s="13"/>
      <c r="I122" s="13"/>
      <c r="J122" s="13"/>
      <c r="K122" s="13"/>
      <c r="L122" s="13"/>
      <c r="M122" s="13"/>
      <c r="N122" s="13"/>
      <c r="O122" s="13"/>
      <c r="P122" s="13"/>
      <c r="Q122" s="13"/>
      <c r="R122" s="13"/>
      <c r="S122" s="13"/>
    </row>
    <row r="123" spans="1:42" x14ac:dyDescent="0.25">
      <c r="H123" s="13"/>
      <c r="I123" s="13"/>
      <c r="J123" s="13"/>
      <c r="K123" s="13"/>
      <c r="L123" s="13"/>
      <c r="M123" s="13"/>
      <c r="N123" s="13"/>
      <c r="O123" s="13"/>
      <c r="P123" s="13"/>
      <c r="Q123" s="13"/>
      <c r="R123" s="13"/>
      <c r="S123" s="13"/>
    </row>
    <row r="124" spans="1:42" x14ac:dyDescent="0.25">
      <c r="H124" s="13"/>
      <c r="I124" s="13"/>
      <c r="J124" s="13"/>
      <c r="K124" s="13"/>
      <c r="L124" s="13"/>
      <c r="M124" s="13"/>
      <c r="N124" s="13"/>
      <c r="O124" s="13"/>
      <c r="P124" s="13"/>
      <c r="Q124" s="13"/>
      <c r="R124" s="13"/>
      <c r="S124" s="13"/>
    </row>
    <row r="125" spans="1:42" x14ac:dyDescent="0.25">
      <c r="H125" s="13"/>
      <c r="I125" s="13"/>
      <c r="J125" s="13"/>
      <c r="K125" s="13"/>
      <c r="L125" s="13"/>
      <c r="M125" s="13"/>
      <c r="N125" s="13"/>
      <c r="O125" s="13"/>
      <c r="P125" s="13"/>
      <c r="Q125" s="13"/>
      <c r="R125" s="13"/>
      <c r="S125" s="13"/>
    </row>
    <row r="126" spans="1:42" x14ac:dyDescent="0.25">
      <c r="H126" s="13"/>
      <c r="I126" s="13"/>
      <c r="J126" s="13"/>
      <c r="K126" s="13"/>
      <c r="L126" s="13"/>
      <c r="M126" s="13"/>
      <c r="N126" s="13"/>
      <c r="O126" s="13"/>
      <c r="P126" s="13"/>
      <c r="Q126" s="13"/>
      <c r="R126" s="13"/>
      <c r="S126" s="13"/>
    </row>
    <row r="127" spans="1:42" x14ac:dyDescent="0.25">
      <c r="H127" s="13"/>
      <c r="I127" s="13"/>
      <c r="J127" s="13"/>
      <c r="K127" s="13"/>
      <c r="L127" s="13"/>
      <c r="M127" s="13"/>
      <c r="N127" s="13"/>
      <c r="O127" s="13"/>
      <c r="P127" s="13"/>
      <c r="Q127" s="13"/>
      <c r="R127" s="13"/>
      <c r="S127" s="13"/>
    </row>
    <row r="128" spans="1:42" x14ac:dyDescent="0.25">
      <c r="H128" s="13"/>
      <c r="I128" s="13"/>
      <c r="J128" s="13"/>
      <c r="K128" s="13"/>
      <c r="L128" s="13"/>
      <c r="M128" s="13"/>
      <c r="N128" s="13"/>
      <c r="O128" s="13"/>
      <c r="P128" s="13"/>
      <c r="Q128" s="13"/>
      <c r="R128" s="13"/>
      <c r="S128" s="13"/>
    </row>
    <row r="129" spans="8:19" x14ac:dyDescent="0.25">
      <c r="H129" s="13"/>
      <c r="I129" s="13"/>
      <c r="J129" s="13"/>
      <c r="K129" s="13"/>
      <c r="L129" s="13"/>
      <c r="M129" s="13"/>
      <c r="N129" s="13"/>
      <c r="O129" s="13"/>
      <c r="P129" s="13"/>
      <c r="Q129" s="13"/>
      <c r="R129" s="13"/>
      <c r="S129" s="13"/>
    </row>
    <row r="130" spans="8:19" x14ac:dyDescent="0.25">
      <c r="H130" s="13"/>
      <c r="I130" s="13"/>
      <c r="J130" s="13"/>
      <c r="K130" s="13"/>
      <c r="L130" s="13"/>
      <c r="M130" s="13"/>
      <c r="N130" s="13"/>
      <c r="O130" s="13"/>
      <c r="P130" s="13"/>
      <c r="Q130" s="13"/>
      <c r="R130" s="13"/>
      <c r="S130" s="13"/>
    </row>
    <row r="131" spans="8:19" x14ac:dyDescent="0.25">
      <c r="H131" s="13"/>
      <c r="I131" s="13"/>
      <c r="J131" s="13"/>
      <c r="K131" s="13"/>
      <c r="L131" s="13"/>
      <c r="M131" s="13"/>
      <c r="N131" s="13"/>
      <c r="O131" s="13"/>
      <c r="P131" s="13"/>
      <c r="Q131" s="13"/>
      <c r="R131" s="13"/>
      <c r="S131" s="13"/>
    </row>
    <row r="132" spans="8:19" x14ac:dyDescent="0.25">
      <c r="H132" s="13"/>
      <c r="I132" s="13"/>
      <c r="J132" s="13"/>
      <c r="K132" s="13"/>
      <c r="L132" s="13"/>
      <c r="M132" s="13"/>
      <c r="N132" s="13"/>
      <c r="O132" s="13"/>
      <c r="P132" s="13"/>
      <c r="Q132" s="13"/>
      <c r="R132" s="13"/>
      <c r="S132" s="13"/>
    </row>
    <row r="133" spans="8:19" x14ac:dyDescent="0.25">
      <c r="H133" s="13"/>
      <c r="I133" s="13"/>
      <c r="J133" s="13"/>
      <c r="K133" s="13"/>
      <c r="L133" s="13"/>
      <c r="M133" s="13"/>
      <c r="N133" s="13"/>
      <c r="O133" s="13"/>
      <c r="P133" s="13"/>
      <c r="Q133" s="13"/>
      <c r="R133" s="13"/>
      <c r="S133" s="13"/>
    </row>
    <row r="134" spans="8:19" x14ac:dyDescent="0.25">
      <c r="H134" s="13"/>
      <c r="I134" s="13"/>
      <c r="J134" s="13"/>
      <c r="K134" s="13"/>
      <c r="L134" s="13"/>
      <c r="M134" s="13"/>
      <c r="N134" s="13"/>
      <c r="O134" s="13"/>
      <c r="P134" s="13"/>
      <c r="Q134" s="13"/>
      <c r="R134" s="13"/>
      <c r="S134" s="13"/>
    </row>
    <row r="135" spans="8:19" x14ac:dyDescent="0.25">
      <c r="H135" s="13"/>
      <c r="I135" s="13"/>
      <c r="J135" s="13"/>
      <c r="K135" s="13"/>
      <c r="L135" s="13"/>
      <c r="M135" s="13"/>
      <c r="N135" s="13"/>
      <c r="O135" s="13"/>
      <c r="P135" s="13"/>
      <c r="Q135" s="13"/>
      <c r="R135" s="13"/>
      <c r="S135" s="13"/>
    </row>
    <row r="136" spans="8:19" x14ac:dyDescent="0.25">
      <c r="H136" s="13"/>
      <c r="I136" s="13"/>
      <c r="J136" s="13"/>
      <c r="K136" s="13"/>
      <c r="L136" s="13"/>
      <c r="M136" s="13"/>
      <c r="N136" s="13"/>
      <c r="O136" s="13"/>
      <c r="P136" s="13"/>
      <c r="Q136" s="13"/>
      <c r="R136" s="13"/>
      <c r="S136" s="13"/>
    </row>
    <row r="137" spans="8:19" x14ac:dyDescent="0.25">
      <c r="H137" s="13"/>
      <c r="I137" s="13"/>
      <c r="J137" s="13"/>
      <c r="K137" s="13"/>
      <c r="L137" s="13"/>
      <c r="M137" s="13"/>
      <c r="N137" s="13"/>
      <c r="O137" s="13"/>
      <c r="P137" s="13"/>
      <c r="Q137" s="13"/>
      <c r="R137" s="13"/>
      <c r="S137" s="13"/>
    </row>
    <row r="138" spans="8:19" x14ac:dyDescent="0.25">
      <c r="H138" s="13"/>
      <c r="I138" s="13"/>
      <c r="J138" s="13"/>
      <c r="K138" s="13"/>
      <c r="L138" s="13"/>
      <c r="M138" s="13"/>
      <c r="N138" s="13"/>
      <c r="O138" s="13"/>
      <c r="P138" s="13"/>
      <c r="Q138" s="13"/>
      <c r="R138" s="13"/>
      <c r="S138" s="13"/>
    </row>
    <row r="139" spans="8:19" x14ac:dyDescent="0.25">
      <c r="H139" s="13"/>
      <c r="I139" s="13"/>
      <c r="J139" s="13"/>
      <c r="K139" s="13"/>
      <c r="L139" s="13"/>
      <c r="M139" s="13"/>
      <c r="N139" s="13"/>
      <c r="O139" s="13"/>
      <c r="P139" s="13"/>
      <c r="Q139" s="13"/>
      <c r="R139" s="13"/>
      <c r="S139" s="13"/>
    </row>
    <row r="140" spans="8:19" x14ac:dyDescent="0.25">
      <c r="H140" s="13"/>
      <c r="I140" s="13"/>
      <c r="J140" s="13"/>
      <c r="K140" s="13"/>
      <c r="L140" s="13"/>
      <c r="M140" s="13"/>
      <c r="N140" s="13"/>
      <c r="O140" s="13"/>
      <c r="P140" s="13"/>
      <c r="Q140" s="13"/>
      <c r="R140" s="13"/>
      <c r="S140" s="13"/>
    </row>
    <row r="141" spans="8:19" x14ac:dyDescent="0.25">
      <c r="H141" s="13"/>
      <c r="I141" s="13"/>
      <c r="J141" s="13"/>
      <c r="K141" s="13"/>
      <c r="L141" s="13"/>
      <c r="M141" s="13"/>
      <c r="N141" s="13"/>
      <c r="O141" s="13"/>
      <c r="P141" s="13"/>
      <c r="Q141" s="13"/>
      <c r="R141" s="13"/>
      <c r="S141" s="13"/>
    </row>
    <row r="142" spans="8:19" x14ac:dyDescent="0.25">
      <c r="H142" s="13"/>
      <c r="I142" s="13"/>
      <c r="J142" s="13"/>
      <c r="K142" s="13"/>
      <c r="L142" s="13"/>
      <c r="M142" s="13"/>
      <c r="N142" s="13"/>
      <c r="O142" s="13"/>
      <c r="P142" s="13"/>
      <c r="Q142" s="13"/>
      <c r="R142" s="13"/>
      <c r="S142" s="13"/>
    </row>
    <row r="143" spans="8:19" x14ac:dyDescent="0.25">
      <c r="H143" s="13"/>
      <c r="I143" s="13"/>
      <c r="J143" s="13"/>
      <c r="K143" s="13"/>
      <c r="L143" s="13"/>
      <c r="M143" s="13"/>
      <c r="N143" s="13"/>
      <c r="O143" s="13"/>
      <c r="P143" s="13"/>
      <c r="Q143" s="13"/>
      <c r="R143" s="13"/>
      <c r="S143" s="13"/>
    </row>
    <row r="144" spans="8:19" x14ac:dyDescent="0.25">
      <c r="H144" s="13"/>
      <c r="I144" s="13"/>
      <c r="J144" s="13"/>
      <c r="K144" s="13"/>
      <c r="L144" s="13"/>
      <c r="M144" s="13"/>
      <c r="N144" s="13"/>
      <c r="O144" s="13"/>
      <c r="P144" s="13"/>
      <c r="Q144" s="13"/>
      <c r="R144" s="13"/>
      <c r="S144" s="13"/>
    </row>
    <row r="145" spans="8:19" x14ac:dyDescent="0.25">
      <c r="H145" s="13"/>
      <c r="I145" s="13"/>
      <c r="J145" s="13"/>
      <c r="K145" s="13"/>
      <c r="L145" s="13"/>
      <c r="M145" s="13"/>
      <c r="N145" s="13"/>
      <c r="O145" s="13"/>
      <c r="P145" s="13"/>
      <c r="Q145" s="13"/>
      <c r="R145" s="13"/>
      <c r="S145" s="13"/>
    </row>
    <row r="146" spans="8:19" x14ac:dyDescent="0.25">
      <c r="H146" s="13"/>
      <c r="I146" s="13"/>
      <c r="J146" s="13"/>
      <c r="K146" s="13"/>
      <c r="L146" s="13"/>
      <c r="M146" s="13"/>
      <c r="N146" s="13"/>
      <c r="O146" s="13"/>
      <c r="P146" s="13"/>
      <c r="Q146" s="13"/>
      <c r="R146" s="13"/>
      <c r="S146" s="13"/>
    </row>
    <row r="147" spans="8:19" x14ac:dyDescent="0.25">
      <c r="H147" s="13"/>
      <c r="I147" s="13"/>
      <c r="J147" s="13"/>
      <c r="K147" s="13"/>
      <c r="L147" s="13"/>
      <c r="M147" s="13"/>
      <c r="N147" s="13"/>
      <c r="O147" s="13"/>
      <c r="P147" s="13"/>
      <c r="Q147" s="13"/>
      <c r="R147" s="13"/>
      <c r="S147" s="13"/>
    </row>
    <row r="148" spans="8:19" x14ac:dyDescent="0.25">
      <c r="H148" s="13"/>
      <c r="I148" s="13"/>
      <c r="J148" s="13"/>
      <c r="K148" s="13"/>
      <c r="L148" s="13"/>
      <c r="M148" s="13"/>
      <c r="N148" s="13"/>
      <c r="O148" s="13"/>
      <c r="P148" s="13"/>
      <c r="Q148" s="13"/>
      <c r="R148" s="13"/>
      <c r="S148" s="13"/>
    </row>
    <row r="149" spans="8:19" x14ac:dyDescent="0.25">
      <c r="H149" s="13"/>
      <c r="I149" s="13"/>
      <c r="J149" s="13"/>
      <c r="K149" s="13"/>
      <c r="L149" s="13"/>
      <c r="M149" s="13"/>
      <c r="N149" s="13"/>
      <c r="O149" s="13"/>
      <c r="P149" s="13"/>
      <c r="Q149" s="13"/>
      <c r="R149" s="13"/>
      <c r="S149" s="13"/>
    </row>
    <row r="150" spans="8:19" x14ac:dyDescent="0.25">
      <c r="H150" s="13"/>
      <c r="I150" s="13"/>
      <c r="J150" s="13"/>
      <c r="K150" s="13"/>
      <c r="L150" s="13"/>
      <c r="M150" s="13"/>
      <c r="N150" s="13"/>
      <c r="O150" s="13"/>
      <c r="P150" s="13"/>
      <c r="Q150" s="13"/>
      <c r="R150" s="13"/>
      <c r="S150" s="13"/>
    </row>
    <row r="151" spans="8:19" x14ac:dyDescent="0.25">
      <c r="H151" s="13"/>
      <c r="I151" s="13"/>
      <c r="J151" s="13"/>
      <c r="K151" s="13"/>
      <c r="L151" s="13"/>
      <c r="M151" s="13"/>
      <c r="N151" s="13"/>
      <c r="O151" s="13"/>
      <c r="P151" s="13"/>
      <c r="Q151" s="13"/>
      <c r="R151" s="13"/>
      <c r="S151" s="13"/>
    </row>
    <row r="152" spans="8:19" x14ac:dyDescent="0.25">
      <c r="H152" s="13"/>
      <c r="I152" s="13"/>
      <c r="J152" s="13"/>
      <c r="K152" s="13"/>
      <c r="L152" s="13"/>
      <c r="M152" s="13"/>
      <c r="N152" s="13"/>
      <c r="O152" s="13"/>
      <c r="P152" s="13"/>
      <c r="Q152" s="13"/>
      <c r="R152" s="13"/>
      <c r="S152" s="13"/>
    </row>
    <row r="153" spans="8:19" x14ac:dyDescent="0.25">
      <c r="H153" s="13"/>
      <c r="I153" s="13"/>
      <c r="J153" s="13"/>
      <c r="K153" s="13"/>
      <c r="L153" s="13"/>
      <c r="M153" s="13"/>
      <c r="N153" s="13"/>
      <c r="O153" s="13"/>
      <c r="P153" s="13"/>
      <c r="Q153" s="13"/>
      <c r="R153" s="13"/>
      <c r="S153" s="13"/>
    </row>
    <row r="154" spans="8:19" x14ac:dyDescent="0.25">
      <c r="H154" s="13"/>
      <c r="I154" s="13"/>
      <c r="J154" s="13"/>
      <c r="K154" s="13"/>
      <c r="L154" s="13"/>
      <c r="M154" s="13"/>
      <c r="N154" s="13"/>
      <c r="O154" s="13"/>
      <c r="P154" s="13"/>
      <c r="Q154" s="13"/>
      <c r="R154" s="13"/>
      <c r="S154" s="13"/>
    </row>
    <row r="155" spans="8:19" x14ac:dyDescent="0.25">
      <c r="H155" s="13"/>
      <c r="I155" s="13"/>
      <c r="J155" s="13"/>
      <c r="K155" s="13"/>
      <c r="L155" s="13"/>
      <c r="M155" s="13"/>
      <c r="N155" s="13"/>
      <c r="O155" s="13"/>
      <c r="P155" s="13"/>
      <c r="Q155" s="13"/>
      <c r="R155" s="13"/>
      <c r="S155" s="13"/>
    </row>
    <row r="156" spans="8:19" x14ac:dyDescent="0.25">
      <c r="H156" s="13"/>
      <c r="I156" s="13"/>
      <c r="J156" s="13"/>
      <c r="K156" s="13"/>
      <c r="L156" s="13"/>
      <c r="M156" s="13"/>
      <c r="N156" s="13"/>
      <c r="O156" s="13"/>
      <c r="P156" s="13"/>
      <c r="Q156" s="13"/>
      <c r="R156" s="13"/>
      <c r="S156" s="13"/>
    </row>
    <row r="157" spans="8:19" x14ac:dyDescent="0.25">
      <c r="H157" s="13"/>
      <c r="I157" s="13"/>
      <c r="J157" s="13"/>
      <c r="K157" s="13"/>
      <c r="L157" s="13"/>
      <c r="M157" s="13"/>
      <c r="N157" s="13"/>
      <c r="O157" s="13"/>
      <c r="P157" s="13"/>
      <c r="Q157" s="13"/>
      <c r="R157" s="13"/>
      <c r="S157" s="13"/>
    </row>
    <row r="158" spans="8:19" x14ac:dyDescent="0.25">
      <c r="H158" s="13"/>
      <c r="I158" s="13"/>
      <c r="J158" s="13"/>
      <c r="K158" s="13"/>
      <c r="L158" s="13"/>
      <c r="M158" s="13"/>
      <c r="N158" s="13"/>
      <c r="O158" s="13"/>
      <c r="P158" s="13"/>
      <c r="Q158" s="13"/>
      <c r="R158" s="13"/>
      <c r="S158" s="13"/>
    </row>
    <row r="159" spans="8:19" x14ac:dyDescent="0.25">
      <c r="H159" s="13"/>
      <c r="I159" s="13"/>
      <c r="J159" s="13"/>
      <c r="K159" s="13"/>
      <c r="L159" s="13"/>
      <c r="M159" s="13"/>
      <c r="N159" s="13"/>
      <c r="O159" s="13"/>
      <c r="P159" s="13"/>
      <c r="Q159" s="13"/>
      <c r="R159" s="13"/>
      <c r="S159" s="13"/>
    </row>
    <row r="160" spans="8:19" x14ac:dyDescent="0.25">
      <c r="H160" s="13"/>
      <c r="I160" s="13"/>
      <c r="J160" s="13"/>
      <c r="K160" s="13"/>
      <c r="L160" s="13"/>
      <c r="M160" s="13"/>
      <c r="N160" s="13"/>
      <c r="O160" s="13"/>
      <c r="P160" s="13"/>
      <c r="Q160" s="13"/>
      <c r="R160" s="13"/>
      <c r="S160" s="13"/>
    </row>
    <row r="161" spans="8:19" x14ac:dyDescent="0.25">
      <c r="H161" s="13"/>
      <c r="I161" s="13"/>
      <c r="J161" s="13"/>
      <c r="K161" s="13"/>
      <c r="L161" s="13"/>
      <c r="M161" s="13"/>
      <c r="N161" s="13"/>
      <c r="O161" s="13"/>
      <c r="P161" s="13"/>
      <c r="Q161" s="13"/>
      <c r="R161" s="13"/>
      <c r="S161" s="13"/>
    </row>
    <row r="162" spans="8:19" x14ac:dyDescent="0.25">
      <c r="H162" s="13"/>
      <c r="I162" s="13"/>
      <c r="J162" s="13"/>
      <c r="K162" s="13"/>
      <c r="L162" s="13"/>
      <c r="M162" s="13"/>
      <c r="N162" s="13"/>
      <c r="O162" s="13"/>
      <c r="P162" s="13"/>
      <c r="Q162" s="13"/>
      <c r="R162" s="13"/>
      <c r="S162" s="13"/>
    </row>
    <row r="163" spans="8:19" x14ac:dyDescent="0.25">
      <c r="H163" s="13"/>
      <c r="I163" s="13"/>
      <c r="J163" s="13"/>
      <c r="K163" s="13"/>
      <c r="L163" s="13"/>
      <c r="M163" s="13"/>
      <c r="N163" s="13"/>
      <c r="O163" s="13"/>
      <c r="P163" s="13"/>
      <c r="Q163" s="13"/>
      <c r="R163" s="13"/>
      <c r="S163" s="13"/>
    </row>
    <row r="164" spans="8:19" x14ac:dyDescent="0.25">
      <c r="H164" s="13"/>
      <c r="I164" s="13"/>
      <c r="J164" s="13"/>
      <c r="K164" s="13"/>
      <c r="L164" s="13"/>
      <c r="M164" s="13"/>
      <c r="N164" s="13"/>
      <c r="O164" s="13"/>
      <c r="P164" s="13"/>
      <c r="Q164" s="13"/>
      <c r="R164" s="13"/>
      <c r="S164" s="13"/>
    </row>
    <row r="165" spans="8:19" x14ac:dyDescent="0.25">
      <c r="H165" s="13"/>
      <c r="I165" s="13"/>
      <c r="J165" s="13"/>
      <c r="K165" s="13"/>
      <c r="L165" s="13"/>
      <c r="M165" s="13"/>
      <c r="N165" s="13"/>
      <c r="O165" s="13"/>
      <c r="P165" s="13"/>
      <c r="Q165" s="13"/>
      <c r="R165" s="13"/>
      <c r="S165" s="13"/>
    </row>
    <row r="166" spans="8:19" x14ac:dyDescent="0.25">
      <c r="H166" s="13"/>
      <c r="I166" s="13"/>
      <c r="J166" s="13"/>
      <c r="K166" s="13"/>
      <c r="L166" s="13"/>
      <c r="M166" s="13"/>
      <c r="N166" s="13"/>
      <c r="O166" s="13"/>
      <c r="P166" s="13"/>
      <c r="Q166" s="13"/>
      <c r="R166" s="13"/>
      <c r="S166" s="13"/>
    </row>
  </sheetData>
  <mergeCells count="14">
    <mergeCell ref="S6:S7"/>
    <mergeCell ref="T6:T7"/>
    <mergeCell ref="N6:O6"/>
    <mergeCell ref="P6:Q6"/>
    <mergeCell ref="A2:J2"/>
    <mergeCell ref="A3:J3"/>
    <mergeCell ref="C5:I5"/>
    <mergeCell ref="L5:R5"/>
    <mergeCell ref="S5:T5"/>
    <mergeCell ref="C6:D6"/>
    <mergeCell ref="E6:F6"/>
    <mergeCell ref="J6:K6"/>
    <mergeCell ref="L6:M6"/>
    <mergeCell ref="G6:I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AA48-FA39-4CC7-AA17-669717118D13}">
  <sheetPr>
    <tabColor theme="4" tint="0.79998168889431442"/>
  </sheetPr>
  <dimension ref="A1:U116"/>
  <sheetViews>
    <sheetView showGridLines="0" zoomScale="80" zoomScaleNormal="80" workbookViewId="0">
      <pane ySplit="7" topLeftCell="A8" activePane="bottomLeft" state="frozen"/>
      <selection pane="bottomLeft" activeCell="R8" sqref="R8"/>
    </sheetView>
  </sheetViews>
  <sheetFormatPr defaultColWidth="9" defaultRowHeight="15" x14ac:dyDescent="0.25"/>
  <cols>
    <col min="1" max="1" width="16.5703125" style="2" customWidth="1"/>
    <col min="2" max="2" width="25.42578125" style="2" customWidth="1"/>
    <col min="3" max="8" width="9.5703125" style="2" customWidth="1"/>
    <col min="9" max="9" width="10.85546875" style="4" customWidth="1"/>
    <col min="10" max="10" width="9.5703125" style="4" customWidth="1"/>
    <col min="11" max="11" width="9.5703125" style="13" customWidth="1"/>
    <col min="12" max="12" width="9.5703125" style="4" customWidth="1"/>
    <col min="13" max="17" width="9.5703125" style="2" customWidth="1"/>
    <col min="18" max="18" width="9.5703125" style="4" customWidth="1"/>
    <col min="19" max="19" width="9" style="2" customWidth="1"/>
    <col min="21" max="16384" width="9" style="2"/>
  </cols>
  <sheetData>
    <row r="1" spans="1:20" ht="23.25" x14ac:dyDescent="0.35">
      <c r="A1" s="105" t="s">
        <v>267</v>
      </c>
      <c r="C1" s="13"/>
      <c r="D1" s="13"/>
      <c r="E1" s="13"/>
      <c r="F1" s="13"/>
      <c r="G1" s="13"/>
      <c r="H1" s="13"/>
      <c r="I1" s="13"/>
      <c r="J1" s="13"/>
      <c r="L1" s="13"/>
      <c r="M1" s="13"/>
      <c r="N1" s="13"/>
      <c r="O1" s="13"/>
      <c r="P1" s="13"/>
      <c r="Q1" s="13"/>
      <c r="R1" s="13"/>
    </row>
    <row r="2" spans="1:20" ht="66" customHeight="1" x14ac:dyDescent="0.25">
      <c r="A2" s="248" t="s">
        <v>313</v>
      </c>
      <c r="B2" s="248"/>
      <c r="C2" s="248"/>
      <c r="D2" s="248"/>
      <c r="E2" s="248"/>
      <c r="F2" s="248"/>
      <c r="G2" s="248"/>
      <c r="H2" s="248"/>
      <c r="I2" s="248"/>
      <c r="J2" s="248"/>
      <c r="L2" s="13"/>
      <c r="M2" s="13"/>
      <c r="N2" s="13"/>
      <c r="O2" s="13"/>
      <c r="P2" s="13"/>
      <c r="Q2" s="13"/>
      <c r="R2" s="13"/>
    </row>
    <row r="3" spans="1:20" ht="42.75" customHeight="1" x14ac:dyDescent="0.25">
      <c r="A3" s="248" t="s">
        <v>312</v>
      </c>
      <c r="B3" s="248"/>
      <c r="C3" s="248"/>
      <c r="D3" s="248"/>
      <c r="E3" s="248"/>
      <c r="F3" s="248"/>
      <c r="G3" s="248"/>
      <c r="H3" s="248"/>
      <c r="I3" s="248"/>
      <c r="J3" s="248"/>
      <c r="L3" s="13"/>
      <c r="M3" s="13"/>
      <c r="N3" s="13"/>
      <c r="O3" s="13"/>
      <c r="P3" s="13"/>
      <c r="Q3" s="13"/>
      <c r="R3" s="13"/>
    </row>
    <row r="4" spans="1:20" ht="23.25" x14ac:dyDescent="0.35">
      <c r="B4" s="105"/>
      <c r="C4" s="13"/>
      <c r="D4" s="13"/>
      <c r="E4" s="13"/>
      <c r="F4" s="13"/>
      <c r="G4" s="13"/>
      <c r="H4" s="13"/>
      <c r="I4" s="13"/>
      <c r="J4" s="13"/>
      <c r="L4" s="13"/>
      <c r="M4" s="13"/>
      <c r="N4" s="13"/>
      <c r="O4" s="13"/>
      <c r="P4" s="13"/>
      <c r="Q4" s="13"/>
      <c r="R4" s="13"/>
    </row>
    <row r="5" spans="1:20" ht="18.75" x14ac:dyDescent="0.3">
      <c r="C5" s="260" t="s">
        <v>291</v>
      </c>
      <c r="D5" s="261"/>
      <c r="E5" s="261"/>
      <c r="F5" s="261"/>
      <c r="G5" s="261"/>
      <c r="H5" s="261"/>
      <c r="I5" s="262"/>
      <c r="J5" s="13"/>
      <c r="L5" s="260" t="s">
        <v>195</v>
      </c>
      <c r="M5" s="261"/>
      <c r="N5" s="261"/>
      <c r="O5" s="261"/>
      <c r="P5" s="261"/>
      <c r="Q5" s="261"/>
      <c r="R5" s="262"/>
      <c r="S5" s="249" t="s">
        <v>294</v>
      </c>
      <c r="T5" s="251"/>
    </row>
    <row r="6" spans="1:20" ht="31.5" customHeight="1" x14ac:dyDescent="0.25">
      <c r="A6" s="5"/>
      <c r="B6" s="264" t="s">
        <v>11</v>
      </c>
      <c r="C6" s="266" t="s">
        <v>121</v>
      </c>
      <c r="D6" s="266"/>
      <c r="E6" s="266" t="s">
        <v>122</v>
      </c>
      <c r="F6" s="266"/>
      <c r="G6" s="265" t="s">
        <v>123</v>
      </c>
      <c r="H6" s="265"/>
      <c r="I6" s="141" t="s">
        <v>295</v>
      </c>
      <c r="J6" s="263" t="s">
        <v>289</v>
      </c>
      <c r="K6" s="263"/>
      <c r="L6" s="259" t="s">
        <v>124</v>
      </c>
      <c r="M6" s="259"/>
      <c r="N6" s="259" t="s">
        <v>125</v>
      </c>
      <c r="O6" s="259"/>
      <c r="P6" s="259" t="s">
        <v>126</v>
      </c>
      <c r="Q6" s="259"/>
      <c r="R6" s="163" t="s">
        <v>297</v>
      </c>
      <c r="S6" s="246" t="s">
        <v>8</v>
      </c>
      <c r="T6" s="246" t="s">
        <v>9</v>
      </c>
    </row>
    <row r="7" spans="1:20" s="1" customFormat="1" ht="37.5" customHeight="1" x14ac:dyDescent="0.25">
      <c r="A7" s="130" t="s">
        <v>10</v>
      </c>
      <c r="B7" s="264"/>
      <c r="C7" s="139" t="s">
        <v>12</v>
      </c>
      <c r="D7" s="139" t="s">
        <v>13</v>
      </c>
      <c r="E7" s="139" t="s">
        <v>12</v>
      </c>
      <c r="F7" s="139" t="s">
        <v>13</v>
      </c>
      <c r="G7" s="139" t="s">
        <v>12</v>
      </c>
      <c r="H7" s="139" t="s">
        <v>13</v>
      </c>
      <c r="I7" s="140" t="s">
        <v>293</v>
      </c>
      <c r="J7" s="153" t="s">
        <v>12</v>
      </c>
      <c r="K7" s="153" t="s">
        <v>13</v>
      </c>
      <c r="L7" s="133" t="s">
        <v>12</v>
      </c>
      <c r="M7" s="133" t="s">
        <v>13</v>
      </c>
      <c r="N7" s="133" t="s">
        <v>12</v>
      </c>
      <c r="O7" s="133" t="s">
        <v>13</v>
      </c>
      <c r="P7" s="133" t="s">
        <v>12</v>
      </c>
      <c r="Q7" s="133" t="s">
        <v>13</v>
      </c>
      <c r="R7" s="154" t="s">
        <v>296</v>
      </c>
      <c r="S7" s="246"/>
      <c r="T7" s="246"/>
    </row>
    <row r="8" spans="1:20" x14ac:dyDescent="0.25">
      <c r="A8" s="3" t="s">
        <v>16</v>
      </c>
      <c r="B8" s="3" t="s">
        <v>16</v>
      </c>
      <c r="C8" s="142">
        <v>838</v>
      </c>
      <c r="D8" s="142">
        <v>107</v>
      </c>
      <c r="E8" s="142">
        <v>3343</v>
      </c>
      <c r="F8" s="142">
        <v>170</v>
      </c>
      <c r="G8" s="142">
        <v>0</v>
      </c>
      <c r="H8" s="142">
        <v>0</v>
      </c>
      <c r="I8" s="143">
        <f>SUM(C8:H8)</f>
        <v>4458</v>
      </c>
      <c r="J8" s="22">
        <v>14144</v>
      </c>
      <c r="K8" s="12">
        <v>3329</v>
      </c>
      <c r="L8" s="77">
        <f>C8/J8</f>
        <v>5.9247737556561084E-2</v>
      </c>
      <c r="M8" s="28">
        <f>D8/K8</f>
        <v>3.21417843196155E-2</v>
      </c>
      <c r="N8" s="28">
        <f>E8/J8</f>
        <v>0.23635463800904977</v>
      </c>
      <c r="O8" s="28">
        <f>F8/K8</f>
        <v>5.1066386302192852E-2</v>
      </c>
      <c r="P8" s="28">
        <f>G8/J8</f>
        <v>0</v>
      </c>
      <c r="Q8" s="28">
        <f>H8/K8</f>
        <v>0</v>
      </c>
      <c r="R8" s="77">
        <f>I8/(J8+K8)</f>
        <v>0.25513649630859042</v>
      </c>
      <c r="S8" s="4">
        <f>RANK(I8,$I$8:$I$116,0)</f>
        <v>22</v>
      </c>
      <c r="T8">
        <f>RANK(R8,$R$8:$R$116,0)</f>
        <v>24</v>
      </c>
    </row>
    <row r="9" spans="1:20" x14ac:dyDescent="0.25">
      <c r="A9" s="2" t="s">
        <v>16</v>
      </c>
      <c r="B9" s="2" t="s">
        <v>17</v>
      </c>
      <c r="C9" s="142">
        <v>31</v>
      </c>
      <c r="D9" s="142">
        <v>5</v>
      </c>
      <c r="E9" s="142">
        <v>1</v>
      </c>
      <c r="F9" s="142">
        <v>0</v>
      </c>
      <c r="G9" s="142">
        <v>0</v>
      </c>
      <c r="H9" s="142">
        <v>0</v>
      </c>
      <c r="I9" s="143">
        <f t="shared" ref="I9:I72" si="0">SUM(C9:H9)</f>
        <v>37</v>
      </c>
      <c r="J9" s="22">
        <v>3634</v>
      </c>
      <c r="K9" s="12">
        <v>480</v>
      </c>
      <c r="L9" s="77">
        <f t="shared" ref="L9:L72" si="1">C9/J9</f>
        <v>8.5305448541552007E-3</v>
      </c>
      <c r="M9" s="28">
        <f t="shared" ref="M9:M60" si="2">D9/K9</f>
        <v>1.0416666666666666E-2</v>
      </c>
      <c r="N9" s="28">
        <f t="shared" ref="N9:N72" si="3">E9/J9</f>
        <v>2.7517886626307099E-4</v>
      </c>
      <c r="O9" s="28">
        <f t="shared" ref="O9:O72" si="4">F9/K9</f>
        <v>0</v>
      </c>
      <c r="P9" s="28">
        <f t="shared" ref="P9:P72" si="5">G9/J9</f>
        <v>0</v>
      </c>
      <c r="Q9" s="28">
        <f t="shared" ref="Q9:Q72" si="6">H9/K9</f>
        <v>0</v>
      </c>
      <c r="R9" s="77">
        <f t="shared" ref="R9:R72" si="7">I9/(J9+K9)</f>
        <v>8.9936801166747692E-3</v>
      </c>
      <c r="S9" s="4">
        <f t="shared" ref="S9:S72" si="8">RANK(I9,$I$8:$I$116,0)</f>
        <v>95</v>
      </c>
      <c r="T9" s="166">
        <f t="shared" ref="T9:T72" si="9">RANK(R9,$R$8:$R$116,0)</f>
        <v>94</v>
      </c>
    </row>
    <row r="10" spans="1:20" x14ac:dyDescent="0.25">
      <c r="A10" s="2" t="s">
        <v>16</v>
      </c>
      <c r="B10" s="2" t="s">
        <v>18</v>
      </c>
      <c r="C10" s="142">
        <v>35</v>
      </c>
      <c r="D10" s="142">
        <v>2</v>
      </c>
      <c r="E10" s="142">
        <v>117</v>
      </c>
      <c r="F10" s="142">
        <v>11</v>
      </c>
      <c r="G10" s="142">
        <v>0</v>
      </c>
      <c r="H10" s="142">
        <v>0</v>
      </c>
      <c r="I10" s="143">
        <f t="shared" si="0"/>
        <v>165</v>
      </c>
      <c r="J10" s="22">
        <v>17041</v>
      </c>
      <c r="K10" s="12">
        <v>6517</v>
      </c>
      <c r="L10" s="77">
        <f t="shared" si="1"/>
        <v>2.0538700780470629E-3</v>
      </c>
      <c r="M10" s="28">
        <f t="shared" si="2"/>
        <v>3.068896731624981E-4</v>
      </c>
      <c r="N10" s="28">
        <f t="shared" si="3"/>
        <v>6.8657942609001823E-3</v>
      </c>
      <c r="O10" s="28">
        <f t="shared" si="4"/>
        <v>1.6878932023937393E-3</v>
      </c>
      <c r="P10" s="28">
        <f t="shared" si="5"/>
        <v>0</v>
      </c>
      <c r="Q10" s="28">
        <f t="shared" si="6"/>
        <v>0</v>
      </c>
      <c r="R10" s="77">
        <f t="shared" si="7"/>
        <v>7.003990151965362E-3</v>
      </c>
      <c r="S10" s="4">
        <f t="shared" si="8"/>
        <v>80</v>
      </c>
      <c r="T10" s="166">
        <f t="shared" si="9"/>
        <v>95</v>
      </c>
    </row>
    <row r="11" spans="1:20" x14ac:dyDescent="0.25">
      <c r="A11" s="2" t="s">
        <v>16</v>
      </c>
      <c r="B11" s="2" t="s">
        <v>19</v>
      </c>
      <c r="C11" s="142">
        <v>88</v>
      </c>
      <c r="D11" s="142">
        <v>13</v>
      </c>
      <c r="E11" s="142">
        <v>264</v>
      </c>
      <c r="F11" s="142">
        <v>17</v>
      </c>
      <c r="G11" s="142">
        <v>0</v>
      </c>
      <c r="H11" s="142">
        <v>0</v>
      </c>
      <c r="I11" s="143">
        <f t="shared" si="0"/>
        <v>382</v>
      </c>
      <c r="J11" s="22">
        <v>12947</v>
      </c>
      <c r="K11" s="12">
        <v>258</v>
      </c>
      <c r="L11" s="77">
        <f t="shared" si="1"/>
        <v>6.7969413763806288E-3</v>
      </c>
      <c r="M11" s="28">
        <f t="shared" si="2"/>
        <v>5.0387596899224806E-2</v>
      </c>
      <c r="N11" s="28">
        <f t="shared" si="3"/>
        <v>2.0390824129141887E-2</v>
      </c>
      <c r="O11" s="28">
        <f t="shared" si="4"/>
        <v>6.589147286821706E-2</v>
      </c>
      <c r="P11" s="28">
        <f t="shared" si="5"/>
        <v>0</v>
      </c>
      <c r="Q11" s="28">
        <f t="shared" si="6"/>
        <v>0</v>
      </c>
      <c r="R11" s="77">
        <f t="shared" si="7"/>
        <v>2.8928436198409693E-2</v>
      </c>
      <c r="S11" s="4">
        <f t="shared" si="8"/>
        <v>65</v>
      </c>
      <c r="T11" s="166">
        <f t="shared" si="9"/>
        <v>72</v>
      </c>
    </row>
    <row r="12" spans="1:20" x14ac:dyDescent="0.25">
      <c r="A12" s="2" t="s">
        <v>16</v>
      </c>
      <c r="B12" s="2" t="s">
        <v>20</v>
      </c>
      <c r="C12" s="142">
        <v>0</v>
      </c>
      <c r="D12" s="142">
        <v>0</v>
      </c>
      <c r="E12" s="142">
        <v>0</v>
      </c>
      <c r="F12" s="142">
        <v>1</v>
      </c>
      <c r="G12" s="142">
        <v>0</v>
      </c>
      <c r="H12" s="142">
        <v>0</v>
      </c>
      <c r="I12" s="143">
        <f t="shared" si="0"/>
        <v>1</v>
      </c>
      <c r="J12" s="22">
        <v>226</v>
      </c>
      <c r="K12" s="12">
        <v>315</v>
      </c>
      <c r="L12" s="77">
        <f t="shared" si="1"/>
        <v>0</v>
      </c>
      <c r="M12" s="28">
        <f t="shared" si="2"/>
        <v>0</v>
      </c>
      <c r="N12" s="28">
        <f t="shared" si="3"/>
        <v>0</v>
      </c>
      <c r="O12" s="28">
        <f t="shared" si="4"/>
        <v>3.1746031746031746E-3</v>
      </c>
      <c r="P12" s="28">
        <f t="shared" si="5"/>
        <v>0</v>
      </c>
      <c r="Q12" s="28">
        <f t="shared" si="6"/>
        <v>0</v>
      </c>
      <c r="R12" s="77">
        <f t="shared" si="7"/>
        <v>1.8484288354898336E-3</v>
      </c>
      <c r="S12" s="4">
        <f t="shared" si="8"/>
        <v>103</v>
      </c>
      <c r="T12" s="166">
        <f t="shared" si="9"/>
        <v>101</v>
      </c>
    </row>
    <row r="13" spans="1:20" x14ac:dyDescent="0.25">
      <c r="A13" s="2" t="s">
        <v>16</v>
      </c>
      <c r="B13" s="2" t="s">
        <v>21</v>
      </c>
      <c r="C13" s="142">
        <v>251</v>
      </c>
      <c r="D13" s="142">
        <v>17</v>
      </c>
      <c r="E13" s="142">
        <v>3170</v>
      </c>
      <c r="F13" s="142">
        <v>94</v>
      </c>
      <c r="G13" s="142">
        <v>0</v>
      </c>
      <c r="H13" s="142">
        <v>0</v>
      </c>
      <c r="I13" s="143">
        <f t="shared" si="0"/>
        <v>3532</v>
      </c>
      <c r="J13" s="22">
        <v>49040</v>
      </c>
      <c r="K13" s="12">
        <v>1360</v>
      </c>
      <c r="L13" s="77">
        <f t="shared" si="1"/>
        <v>5.1182707993474713E-3</v>
      </c>
      <c r="M13" s="28">
        <f t="shared" si="2"/>
        <v>1.2500000000000001E-2</v>
      </c>
      <c r="N13" s="28">
        <f t="shared" si="3"/>
        <v>6.4641109298531813E-2</v>
      </c>
      <c r="O13" s="28">
        <f t="shared" si="4"/>
        <v>6.9117647058823534E-2</v>
      </c>
      <c r="P13" s="28">
        <f t="shared" si="5"/>
        <v>0</v>
      </c>
      <c r="Q13" s="28">
        <f t="shared" si="6"/>
        <v>0</v>
      </c>
      <c r="R13" s="77">
        <f t="shared" si="7"/>
        <v>7.0079365079365075E-2</v>
      </c>
      <c r="S13" s="4">
        <f t="shared" si="8"/>
        <v>27</v>
      </c>
      <c r="T13" s="166">
        <f t="shared" si="9"/>
        <v>54</v>
      </c>
    </row>
    <row r="14" spans="1:20" x14ac:dyDescent="0.25">
      <c r="A14" s="2" t="s">
        <v>16</v>
      </c>
      <c r="B14" s="2" t="s">
        <v>128</v>
      </c>
      <c r="C14" s="142">
        <v>279</v>
      </c>
      <c r="D14" s="142">
        <v>45</v>
      </c>
      <c r="E14" s="142">
        <v>2376</v>
      </c>
      <c r="F14" s="142">
        <v>323</v>
      </c>
      <c r="G14" s="142">
        <v>745</v>
      </c>
      <c r="H14" s="142">
        <v>18</v>
      </c>
      <c r="I14" s="143">
        <f t="shared" si="0"/>
        <v>3786</v>
      </c>
      <c r="J14" s="22">
        <v>26190</v>
      </c>
      <c r="K14" s="12">
        <v>2395</v>
      </c>
      <c r="L14" s="77">
        <f t="shared" si="1"/>
        <v>1.0652920962199313E-2</v>
      </c>
      <c r="M14" s="28">
        <f t="shared" si="2"/>
        <v>1.8789144050104383E-2</v>
      </c>
      <c r="N14" s="28">
        <f t="shared" si="3"/>
        <v>9.0721649484536079E-2</v>
      </c>
      <c r="O14" s="28">
        <f t="shared" si="4"/>
        <v>0.13486430062630481</v>
      </c>
      <c r="P14" s="28">
        <f t="shared" si="5"/>
        <v>2.8445971744940818E-2</v>
      </c>
      <c r="Q14" s="28">
        <f t="shared" si="6"/>
        <v>7.5156576200417534E-3</v>
      </c>
      <c r="R14" s="77">
        <f t="shared" si="7"/>
        <v>0.13244708763337415</v>
      </c>
      <c r="S14" s="4">
        <f t="shared" si="8"/>
        <v>25</v>
      </c>
      <c r="T14" s="166">
        <f t="shared" si="9"/>
        <v>40</v>
      </c>
    </row>
    <row r="15" spans="1:20" x14ac:dyDescent="0.25">
      <c r="A15" s="2" t="s">
        <v>16</v>
      </c>
      <c r="B15" s="2" t="s">
        <v>22</v>
      </c>
      <c r="C15" s="142">
        <v>33</v>
      </c>
      <c r="D15" s="142">
        <v>0</v>
      </c>
      <c r="E15" s="142">
        <v>1262</v>
      </c>
      <c r="F15" s="142">
        <v>36</v>
      </c>
      <c r="G15" s="142">
        <v>0</v>
      </c>
      <c r="H15" s="142">
        <v>0</v>
      </c>
      <c r="I15" s="143">
        <f t="shared" si="0"/>
        <v>1331</v>
      </c>
      <c r="J15" s="22">
        <v>24226</v>
      </c>
      <c r="K15" s="12">
        <v>915</v>
      </c>
      <c r="L15" s="77">
        <f t="shared" si="1"/>
        <v>1.3621728721208619E-3</v>
      </c>
      <c r="M15" s="28">
        <f t="shared" si="2"/>
        <v>0</v>
      </c>
      <c r="N15" s="28">
        <f t="shared" si="3"/>
        <v>5.2092792867167503E-2</v>
      </c>
      <c r="O15" s="28">
        <f t="shared" si="4"/>
        <v>3.9344262295081971E-2</v>
      </c>
      <c r="P15" s="28">
        <f t="shared" si="5"/>
        <v>0</v>
      </c>
      <c r="Q15" s="28">
        <f t="shared" si="6"/>
        <v>0</v>
      </c>
      <c r="R15" s="77">
        <f t="shared" si="7"/>
        <v>5.2941410445089696E-2</v>
      </c>
      <c r="S15" s="4">
        <f t="shared" si="8"/>
        <v>39</v>
      </c>
      <c r="T15" s="166">
        <f t="shared" si="9"/>
        <v>56</v>
      </c>
    </row>
    <row r="16" spans="1:20" x14ac:dyDescent="0.25">
      <c r="A16" s="2" t="s">
        <v>16</v>
      </c>
      <c r="B16" s="2" t="s">
        <v>23</v>
      </c>
      <c r="C16" s="142">
        <v>52</v>
      </c>
      <c r="D16" s="142">
        <v>3</v>
      </c>
      <c r="E16" s="142">
        <v>946</v>
      </c>
      <c r="F16" s="142">
        <v>27</v>
      </c>
      <c r="G16" s="142">
        <v>0</v>
      </c>
      <c r="H16" s="142">
        <v>0</v>
      </c>
      <c r="I16" s="143">
        <f t="shared" si="0"/>
        <v>1028</v>
      </c>
      <c r="J16" s="22">
        <v>10761</v>
      </c>
      <c r="K16" s="12">
        <v>428</v>
      </c>
      <c r="L16" s="77">
        <f t="shared" si="1"/>
        <v>4.8322646594182693E-3</v>
      </c>
      <c r="M16" s="28">
        <f t="shared" si="2"/>
        <v>7.0093457943925233E-3</v>
      </c>
      <c r="N16" s="28">
        <f t="shared" si="3"/>
        <v>8.7910045534801598E-2</v>
      </c>
      <c r="O16" s="28">
        <f t="shared" si="4"/>
        <v>6.3084112149532703E-2</v>
      </c>
      <c r="P16" s="28">
        <f t="shared" si="5"/>
        <v>0</v>
      </c>
      <c r="Q16" s="28">
        <f t="shared" si="6"/>
        <v>0</v>
      </c>
      <c r="R16" s="77">
        <f t="shared" si="7"/>
        <v>9.1875949593350617E-2</v>
      </c>
      <c r="S16" s="4">
        <f t="shared" si="8"/>
        <v>43</v>
      </c>
      <c r="T16" s="166">
        <f t="shared" si="9"/>
        <v>47</v>
      </c>
    </row>
    <row r="17" spans="1:20" x14ac:dyDescent="0.25">
      <c r="A17" s="2" t="s">
        <v>16</v>
      </c>
      <c r="B17" s="2" t="s">
        <v>24</v>
      </c>
      <c r="C17" s="142">
        <v>207</v>
      </c>
      <c r="D17" s="142">
        <v>83</v>
      </c>
      <c r="E17" s="142">
        <v>2919</v>
      </c>
      <c r="F17" s="142">
        <v>1225</v>
      </c>
      <c r="G17" s="142">
        <v>1</v>
      </c>
      <c r="H17" s="142">
        <v>0</v>
      </c>
      <c r="I17" s="143">
        <f t="shared" si="0"/>
        <v>4435</v>
      </c>
      <c r="J17" s="22">
        <v>65644</v>
      </c>
      <c r="K17" s="12">
        <v>20110</v>
      </c>
      <c r="L17" s="77">
        <f t="shared" si="1"/>
        <v>3.1533727377978187E-3</v>
      </c>
      <c r="M17" s="28">
        <f t="shared" si="2"/>
        <v>4.1272998508204871E-3</v>
      </c>
      <c r="N17" s="28">
        <f t="shared" si="3"/>
        <v>4.4467125708366341E-2</v>
      </c>
      <c r="O17" s="28">
        <f t="shared" si="4"/>
        <v>6.0914967677772255E-2</v>
      </c>
      <c r="P17" s="28">
        <f t="shared" si="5"/>
        <v>1.5233684723660959E-5</v>
      </c>
      <c r="Q17" s="28">
        <f t="shared" si="6"/>
        <v>0</v>
      </c>
      <c r="R17" s="77">
        <f t="shared" si="7"/>
        <v>5.1717704130419574E-2</v>
      </c>
      <c r="S17" s="4">
        <f t="shared" si="8"/>
        <v>23</v>
      </c>
      <c r="T17" s="166">
        <f t="shared" si="9"/>
        <v>57</v>
      </c>
    </row>
    <row r="18" spans="1:20" x14ac:dyDescent="0.25">
      <c r="A18" s="2" t="s">
        <v>16</v>
      </c>
      <c r="B18" s="2" t="s">
        <v>25</v>
      </c>
      <c r="C18" s="142">
        <v>0</v>
      </c>
      <c r="D18" s="142">
        <v>0</v>
      </c>
      <c r="E18" s="142">
        <v>0</v>
      </c>
      <c r="F18" s="142">
        <v>0</v>
      </c>
      <c r="G18" s="142">
        <v>0</v>
      </c>
      <c r="H18" s="142">
        <v>0</v>
      </c>
      <c r="I18" s="143">
        <f t="shared" si="0"/>
        <v>0</v>
      </c>
      <c r="J18" s="22">
        <v>3712</v>
      </c>
      <c r="K18" s="12">
        <v>84</v>
      </c>
      <c r="L18" s="77">
        <f t="shared" si="1"/>
        <v>0</v>
      </c>
      <c r="M18" s="28">
        <f t="shared" si="2"/>
        <v>0</v>
      </c>
      <c r="N18" s="28">
        <f t="shared" si="3"/>
        <v>0</v>
      </c>
      <c r="O18" s="28">
        <f t="shared" si="4"/>
        <v>0</v>
      </c>
      <c r="P18" s="28">
        <f t="shared" si="5"/>
        <v>0</v>
      </c>
      <c r="Q18" s="28">
        <f t="shared" si="6"/>
        <v>0</v>
      </c>
      <c r="R18" s="77">
        <f t="shared" si="7"/>
        <v>0</v>
      </c>
      <c r="S18" s="4">
        <f t="shared" si="8"/>
        <v>105</v>
      </c>
      <c r="T18" s="166">
        <f t="shared" si="9"/>
        <v>105</v>
      </c>
    </row>
    <row r="19" spans="1:20" x14ac:dyDescent="0.25">
      <c r="A19" s="2" t="s">
        <v>16</v>
      </c>
      <c r="B19" s="2" t="s">
        <v>26</v>
      </c>
      <c r="C19" s="142">
        <v>324</v>
      </c>
      <c r="D19" s="142">
        <v>4</v>
      </c>
      <c r="E19" s="142">
        <v>4512</v>
      </c>
      <c r="F19" s="142">
        <v>27</v>
      </c>
      <c r="G19" s="142">
        <v>0</v>
      </c>
      <c r="H19" s="142">
        <v>0</v>
      </c>
      <c r="I19" s="143">
        <f t="shared" si="0"/>
        <v>4867</v>
      </c>
      <c r="J19" s="22">
        <v>19688</v>
      </c>
      <c r="K19" s="12">
        <v>521</v>
      </c>
      <c r="L19" s="77">
        <f t="shared" si="1"/>
        <v>1.645672490857375E-2</v>
      </c>
      <c r="M19" s="28">
        <f t="shared" si="2"/>
        <v>7.677543186180422E-3</v>
      </c>
      <c r="N19" s="28">
        <f t="shared" si="3"/>
        <v>0.22917513206013815</v>
      </c>
      <c r="O19" s="28">
        <f t="shared" si="4"/>
        <v>5.1823416506717852E-2</v>
      </c>
      <c r="P19" s="28">
        <f t="shared" si="5"/>
        <v>0</v>
      </c>
      <c r="Q19" s="28">
        <f t="shared" si="6"/>
        <v>0</v>
      </c>
      <c r="R19" s="77">
        <f t="shared" si="7"/>
        <v>0.24083329209758028</v>
      </c>
      <c r="S19" s="4">
        <f t="shared" si="8"/>
        <v>20</v>
      </c>
      <c r="T19" s="166">
        <f t="shared" si="9"/>
        <v>25</v>
      </c>
    </row>
    <row r="20" spans="1:20" x14ac:dyDescent="0.25">
      <c r="A20" s="2" t="s">
        <v>16</v>
      </c>
      <c r="B20" s="2" t="s">
        <v>27</v>
      </c>
      <c r="C20" s="142">
        <v>1472</v>
      </c>
      <c r="D20" s="142">
        <v>55</v>
      </c>
      <c r="E20" s="142">
        <v>435</v>
      </c>
      <c r="F20" s="142">
        <v>115</v>
      </c>
      <c r="G20" s="142">
        <v>0</v>
      </c>
      <c r="H20" s="142">
        <v>0</v>
      </c>
      <c r="I20" s="143">
        <f t="shared" si="0"/>
        <v>2077</v>
      </c>
      <c r="J20" s="22">
        <v>18902</v>
      </c>
      <c r="K20" s="12">
        <v>1671</v>
      </c>
      <c r="L20" s="77">
        <f t="shared" si="1"/>
        <v>7.7875357105068252E-2</v>
      </c>
      <c r="M20" s="28">
        <f t="shared" si="2"/>
        <v>3.2914422501496107E-2</v>
      </c>
      <c r="N20" s="28">
        <f t="shared" si="3"/>
        <v>2.301343773145699E-2</v>
      </c>
      <c r="O20" s="28">
        <f t="shared" si="4"/>
        <v>6.8821065230400963E-2</v>
      </c>
      <c r="P20" s="28">
        <f t="shared" si="5"/>
        <v>0</v>
      </c>
      <c r="Q20" s="28">
        <f t="shared" si="6"/>
        <v>0</v>
      </c>
      <c r="R20" s="77">
        <f t="shared" si="7"/>
        <v>0.10095756574150586</v>
      </c>
      <c r="S20" s="4">
        <f t="shared" si="8"/>
        <v>32</v>
      </c>
      <c r="T20" s="166">
        <f t="shared" si="9"/>
        <v>45</v>
      </c>
    </row>
    <row r="21" spans="1:20" x14ac:dyDescent="0.25">
      <c r="A21" s="2" t="s">
        <v>16</v>
      </c>
      <c r="B21" s="2" t="s">
        <v>28</v>
      </c>
      <c r="C21" s="142">
        <v>801</v>
      </c>
      <c r="D21" s="142">
        <v>46</v>
      </c>
      <c r="E21" s="142">
        <v>1824</v>
      </c>
      <c r="F21" s="142">
        <v>57</v>
      </c>
      <c r="G21" s="142">
        <v>0</v>
      </c>
      <c r="H21" s="142">
        <v>0</v>
      </c>
      <c r="I21" s="143">
        <f t="shared" si="0"/>
        <v>2728</v>
      </c>
      <c r="J21" s="22">
        <v>32992</v>
      </c>
      <c r="K21" s="12">
        <v>2805</v>
      </c>
      <c r="L21" s="77">
        <f t="shared" si="1"/>
        <v>2.4278612997090204E-2</v>
      </c>
      <c r="M21" s="28">
        <f t="shared" si="2"/>
        <v>1.6399286987522282E-2</v>
      </c>
      <c r="N21" s="28">
        <f t="shared" si="3"/>
        <v>5.5286129970902036E-2</v>
      </c>
      <c r="O21" s="28">
        <f t="shared" si="4"/>
        <v>2.0320855614973262E-2</v>
      </c>
      <c r="P21" s="28">
        <f t="shared" si="5"/>
        <v>0</v>
      </c>
      <c r="Q21" s="28">
        <f t="shared" si="6"/>
        <v>0</v>
      </c>
      <c r="R21" s="77">
        <f t="shared" si="7"/>
        <v>7.6207503422074482E-2</v>
      </c>
      <c r="S21" s="4">
        <f t="shared" si="8"/>
        <v>30</v>
      </c>
      <c r="T21" s="166">
        <f t="shared" si="9"/>
        <v>51</v>
      </c>
    </row>
    <row r="22" spans="1:20" s="15" customFormat="1" x14ac:dyDescent="0.25">
      <c r="A22" s="15" t="s">
        <v>16</v>
      </c>
      <c r="B22" s="16" t="s">
        <v>29</v>
      </c>
      <c r="C22" s="144">
        <v>307</v>
      </c>
      <c r="D22" s="144">
        <v>17</v>
      </c>
      <c r="E22" s="144">
        <v>250</v>
      </c>
      <c r="F22" s="144">
        <v>1</v>
      </c>
      <c r="G22" s="144">
        <v>0</v>
      </c>
      <c r="H22" s="144">
        <v>0</v>
      </c>
      <c r="I22" s="145">
        <f t="shared" si="0"/>
        <v>575</v>
      </c>
      <c r="J22" s="23">
        <v>14245</v>
      </c>
      <c r="K22" s="17">
        <v>512</v>
      </c>
      <c r="L22" s="81">
        <f t="shared" si="1"/>
        <v>2.1551421551421552E-2</v>
      </c>
      <c r="M22" s="80">
        <f t="shared" si="2"/>
        <v>3.3203125E-2</v>
      </c>
      <c r="N22" s="80">
        <f t="shared" si="3"/>
        <v>1.755001755001755E-2</v>
      </c>
      <c r="O22" s="80">
        <f t="shared" si="4"/>
        <v>1.953125E-3</v>
      </c>
      <c r="P22" s="80">
        <f t="shared" si="5"/>
        <v>0</v>
      </c>
      <c r="Q22" s="80">
        <f t="shared" si="6"/>
        <v>0</v>
      </c>
      <c r="R22" s="81">
        <f t="shared" si="7"/>
        <v>3.8964559192247748E-2</v>
      </c>
      <c r="S22" s="164">
        <f t="shared" si="8"/>
        <v>53</v>
      </c>
      <c r="T22" s="167">
        <f t="shared" si="9"/>
        <v>65</v>
      </c>
    </row>
    <row r="23" spans="1:20" s="13" customFormat="1" x14ac:dyDescent="0.25">
      <c r="A23" s="13" t="s">
        <v>30</v>
      </c>
      <c r="B23" s="13" t="s">
        <v>31</v>
      </c>
      <c r="C23" s="150">
        <v>44</v>
      </c>
      <c r="D23" s="150">
        <v>34</v>
      </c>
      <c r="E23" s="150">
        <v>288</v>
      </c>
      <c r="F23" s="150">
        <v>23</v>
      </c>
      <c r="G23" s="150">
        <v>0</v>
      </c>
      <c r="H23" s="150">
        <v>0</v>
      </c>
      <c r="I23" s="143">
        <f t="shared" si="0"/>
        <v>389</v>
      </c>
      <c r="J23" s="22">
        <v>28409</v>
      </c>
      <c r="K23" s="12">
        <v>2625</v>
      </c>
      <c r="L23" s="77">
        <f t="shared" si="1"/>
        <v>1.5488049561758598E-3</v>
      </c>
      <c r="M23" s="28">
        <f t="shared" si="2"/>
        <v>1.2952380952380953E-2</v>
      </c>
      <c r="N23" s="79">
        <f t="shared" si="3"/>
        <v>1.0137632440423809E-2</v>
      </c>
      <c r="O23" s="79">
        <f t="shared" si="4"/>
        <v>8.7619047619047624E-3</v>
      </c>
      <c r="P23" s="79">
        <f t="shared" si="5"/>
        <v>0</v>
      </c>
      <c r="Q23" s="79">
        <f t="shared" si="6"/>
        <v>0</v>
      </c>
      <c r="R23" s="77">
        <f t="shared" si="7"/>
        <v>1.2534639427724431E-2</v>
      </c>
      <c r="S23" s="4">
        <f t="shared" si="8"/>
        <v>62</v>
      </c>
      <c r="T23" s="166">
        <f t="shared" si="9"/>
        <v>89</v>
      </c>
    </row>
    <row r="24" spans="1:20" x14ac:dyDescent="0.25">
      <c r="A24" s="2" t="s">
        <v>30</v>
      </c>
      <c r="B24" s="2" t="s">
        <v>32</v>
      </c>
      <c r="C24" s="142">
        <v>17</v>
      </c>
      <c r="D24" s="142">
        <v>0</v>
      </c>
      <c r="E24" s="142">
        <v>162</v>
      </c>
      <c r="F24" s="142">
        <v>0</v>
      </c>
      <c r="G24" s="142">
        <v>0</v>
      </c>
      <c r="H24" s="142">
        <v>0</v>
      </c>
      <c r="I24" s="143">
        <f t="shared" si="0"/>
        <v>179</v>
      </c>
      <c r="J24" s="22">
        <v>19254</v>
      </c>
      <c r="K24" s="12">
        <v>398</v>
      </c>
      <c r="L24" s="77">
        <f t="shared" si="1"/>
        <v>8.8293341643294902E-4</v>
      </c>
      <c r="M24" s="28">
        <f t="shared" si="2"/>
        <v>0</v>
      </c>
      <c r="N24" s="28">
        <f t="shared" si="3"/>
        <v>8.4138360860081026E-3</v>
      </c>
      <c r="O24" s="28">
        <f t="shared" si="4"/>
        <v>0</v>
      </c>
      <c r="P24" s="28">
        <f t="shared" si="5"/>
        <v>0</v>
      </c>
      <c r="Q24" s="28">
        <f t="shared" si="6"/>
        <v>0</v>
      </c>
      <c r="R24" s="77">
        <f t="shared" si="7"/>
        <v>9.108487685731732E-3</v>
      </c>
      <c r="S24" s="4">
        <f t="shared" si="8"/>
        <v>78</v>
      </c>
      <c r="T24" s="166">
        <f t="shared" si="9"/>
        <v>93</v>
      </c>
    </row>
    <row r="25" spans="1:20" x14ac:dyDescent="0.25">
      <c r="A25" s="2" t="s">
        <v>30</v>
      </c>
      <c r="B25" s="2" t="s">
        <v>33</v>
      </c>
      <c r="C25" s="142">
        <v>84</v>
      </c>
      <c r="D25" s="142">
        <v>1</v>
      </c>
      <c r="E25" s="142">
        <v>19</v>
      </c>
      <c r="F25" s="142">
        <v>0</v>
      </c>
      <c r="G25" s="142">
        <v>0</v>
      </c>
      <c r="H25" s="142">
        <v>0</v>
      </c>
      <c r="I25" s="143">
        <f t="shared" si="0"/>
        <v>104</v>
      </c>
      <c r="J25" s="22">
        <v>3359</v>
      </c>
      <c r="K25" s="12">
        <v>744</v>
      </c>
      <c r="L25" s="77">
        <f t="shared" si="1"/>
        <v>2.5007442691277165E-2</v>
      </c>
      <c r="M25" s="28">
        <f t="shared" si="2"/>
        <v>1.3440860215053765E-3</v>
      </c>
      <c r="N25" s="28">
        <f t="shared" si="3"/>
        <v>5.6564453706460256E-3</v>
      </c>
      <c r="O25" s="28">
        <f t="shared" si="4"/>
        <v>0</v>
      </c>
      <c r="P25" s="28">
        <f t="shared" si="5"/>
        <v>0</v>
      </c>
      <c r="Q25" s="28">
        <f t="shared" si="6"/>
        <v>0</v>
      </c>
      <c r="R25" s="77">
        <f t="shared" si="7"/>
        <v>2.5347306848647329E-2</v>
      </c>
      <c r="S25" s="4">
        <f t="shared" si="8"/>
        <v>89</v>
      </c>
      <c r="T25" s="166">
        <f t="shared" si="9"/>
        <v>76</v>
      </c>
    </row>
    <row r="26" spans="1:20" x14ac:dyDescent="0.25">
      <c r="A26" s="2" t="s">
        <v>30</v>
      </c>
      <c r="B26" s="2" t="s">
        <v>34</v>
      </c>
      <c r="C26" s="142">
        <v>348</v>
      </c>
      <c r="D26" s="142">
        <v>146</v>
      </c>
      <c r="E26" s="142">
        <v>518</v>
      </c>
      <c r="F26" s="142">
        <v>540</v>
      </c>
      <c r="G26" s="142">
        <v>0</v>
      </c>
      <c r="H26" s="142">
        <v>0</v>
      </c>
      <c r="I26" s="143">
        <f t="shared" si="0"/>
        <v>1552</v>
      </c>
      <c r="J26" s="22">
        <v>28214</v>
      </c>
      <c r="K26" s="12">
        <v>7820</v>
      </c>
      <c r="L26" s="77">
        <f t="shared" si="1"/>
        <v>1.2334302119515134E-2</v>
      </c>
      <c r="M26" s="28">
        <f t="shared" si="2"/>
        <v>1.8670076726342712E-2</v>
      </c>
      <c r="N26" s="28">
        <f t="shared" si="3"/>
        <v>1.8359679591692067E-2</v>
      </c>
      <c r="O26" s="28">
        <f t="shared" si="4"/>
        <v>6.9053708439897693E-2</v>
      </c>
      <c r="P26" s="28">
        <f t="shared" si="5"/>
        <v>0</v>
      </c>
      <c r="Q26" s="28">
        <f t="shared" si="6"/>
        <v>0</v>
      </c>
      <c r="R26" s="77">
        <f t="shared" si="7"/>
        <v>4.3070433479491591E-2</v>
      </c>
      <c r="S26" s="4">
        <f t="shared" si="8"/>
        <v>38</v>
      </c>
      <c r="T26" s="166">
        <f t="shared" si="9"/>
        <v>62</v>
      </c>
    </row>
    <row r="27" spans="1:20" x14ac:dyDescent="0.25">
      <c r="A27" s="2" t="s">
        <v>30</v>
      </c>
      <c r="B27" s="2" t="s">
        <v>35</v>
      </c>
      <c r="C27" s="142">
        <v>111</v>
      </c>
      <c r="D27" s="142">
        <v>5</v>
      </c>
      <c r="E27" s="142">
        <v>251</v>
      </c>
      <c r="F27" s="142">
        <v>55</v>
      </c>
      <c r="G27" s="142">
        <v>0</v>
      </c>
      <c r="H27" s="142">
        <v>0</v>
      </c>
      <c r="I27" s="143">
        <f t="shared" si="0"/>
        <v>422</v>
      </c>
      <c r="J27" s="22">
        <v>12487</v>
      </c>
      <c r="K27" s="12">
        <v>3188</v>
      </c>
      <c r="L27" s="77">
        <f t="shared" si="1"/>
        <v>8.8892448146071917E-3</v>
      </c>
      <c r="M27" s="28">
        <f t="shared" si="2"/>
        <v>1.5683814303638645E-3</v>
      </c>
      <c r="N27" s="28">
        <f t="shared" si="3"/>
        <v>2.0100904941138784E-2</v>
      </c>
      <c r="O27" s="28">
        <f t="shared" si="4"/>
        <v>1.7252195734002509E-2</v>
      </c>
      <c r="P27" s="28">
        <f t="shared" si="5"/>
        <v>0</v>
      </c>
      <c r="Q27" s="28">
        <f t="shared" si="6"/>
        <v>0</v>
      </c>
      <c r="R27" s="77">
        <f t="shared" si="7"/>
        <v>2.6921850079744816E-2</v>
      </c>
      <c r="S27" s="4">
        <f t="shared" si="8"/>
        <v>61</v>
      </c>
      <c r="T27" s="166">
        <f t="shared" si="9"/>
        <v>74</v>
      </c>
    </row>
    <row r="28" spans="1:20" x14ac:dyDescent="0.25">
      <c r="A28" s="2" t="s">
        <v>30</v>
      </c>
      <c r="B28" s="2" t="s">
        <v>36</v>
      </c>
      <c r="C28" s="142">
        <v>68</v>
      </c>
      <c r="D28" s="142">
        <v>85</v>
      </c>
      <c r="E28" s="142">
        <v>0</v>
      </c>
      <c r="F28" s="142">
        <v>0</v>
      </c>
      <c r="G28" s="142">
        <v>0</v>
      </c>
      <c r="H28" s="142">
        <v>0</v>
      </c>
      <c r="I28" s="143">
        <f t="shared" si="0"/>
        <v>153</v>
      </c>
      <c r="J28" s="22">
        <v>7364</v>
      </c>
      <c r="K28" s="12">
        <v>860</v>
      </c>
      <c r="L28" s="77">
        <f t="shared" si="1"/>
        <v>9.234111895708854E-3</v>
      </c>
      <c r="M28" s="28">
        <f t="shared" si="2"/>
        <v>9.8837209302325577E-2</v>
      </c>
      <c r="N28" s="28">
        <f t="shared" si="3"/>
        <v>0</v>
      </c>
      <c r="O28" s="28">
        <f t="shared" si="4"/>
        <v>0</v>
      </c>
      <c r="P28" s="28">
        <f t="shared" si="5"/>
        <v>0</v>
      </c>
      <c r="Q28" s="28">
        <f t="shared" si="6"/>
        <v>0</v>
      </c>
      <c r="R28" s="77">
        <f t="shared" si="7"/>
        <v>1.860408560311284E-2</v>
      </c>
      <c r="S28" s="4">
        <f t="shared" si="8"/>
        <v>82</v>
      </c>
      <c r="T28" s="166">
        <f t="shared" si="9"/>
        <v>84</v>
      </c>
    </row>
    <row r="29" spans="1:20" x14ac:dyDescent="0.25">
      <c r="A29" s="2" t="s">
        <v>30</v>
      </c>
      <c r="B29" s="2" t="s">
        <v>37</v>
      </c>
      <c r="C29" s="142">
        <v>0</v>
      </c>
      <c r="D29" s="142">
        <v>0</v>
      </c>
      <c r="E29" s="142">
        <v>152</v>
      </c>
      <c r="F29" s="142">
        <v>85</v>
      </c>
      <c r="G29" s="142">
        <v>0</v>
      </c>
      <c r="H29" s="142">
        <v>0</v>
      </c>
      <c r="I29" s="143">
        <f t="shared" si="0"/>
        <v>237</v>
      </c>
      <c r="J29" s="22">
        <v>5712</v>
      </c>
      <c r="K29" s="12">
        <v>2748</v>
      </c>
      <c r="L29" s="77">
        <f t="shared" si="1"/>
        <v>0</v>
      </c>
      <c r="M29" s="28">
        <f t="shared" si="2"/>
        <v>0</v>
      </c>
      <c r="N29" s="28">
        <f t="shared" si="3"/>
        <v>2.661064425770308E-2</v>
      </c>
      <c r="O29" s="28">
        <f t="shared" si="4"/>
        <v>3.0931586608442505E-2</v>
      </c>
      <c r="P29" s="28">
        <f t="shared" si="5"/>
        <v>0</v>
      </c>
      <c r="Q29" s="28">
        <f t="shared" si="6"/>
        <v>0</v>
      </c>
      <c r="R29" s="77">
        <f t="shared" si="7"/>
        <v>2.8014184397163119E-2</v>
      </c>
      <c r="S29" s="4">
        <f t="shared" si="8"/>
        <v>74</v>
      </c>
      <c r="T29" s="166">
        <f t="shared" si="9"/>
        <v>73</v>
      </c>
    </row>
    <row r="30" spans="1:20" x14ac:dyDescent="0.25">
      <c r="A30" s="2" t="s">
        <v>30</v>
      </c>
      <c r="B30" s="2" t="s">
        <v>38</v>
      </c>
      <c r="C30" s="142">
        <v>107</v>
      </c>
      <c r="D30" s="142">
        <v>55</v>
      </c>
      <c r="E30" s="142">
        <v>197</v>
      </c>
      <c r="F30" s="142">
        <v>24</v>
      </c>
      <c r="G30" s="142">
        <v>0</v>
      </c>
      <c r="H30" s="142">
        <v>0</v>
      </c>
      <c r="I30" s="143">
        <f t="shared" si="0"/>
        <v>383</v>
      </c>
      <c r="J30" s="22">
        <v>7813</v>
      </c>
      <c r="K30" s="12">
        <v>527</v>
      </c>
      <c r="L30" s="77">
        <f t="shared" si="1"/>
        <v>1.3695123512095226E-2</v>
      </c>
      <c r="M30" s="28">
        <f t="shared" si="2"/>
        <v>0.10436432637571158</v>
      </c>
      <c r="N30" s="28">
        <f t="shared" si="3"/>
        <v>2.5214386279278127E-2</v>
      </c>
      <c r="O30" s="28">
        <f t="shared" si="4"/>
        <v>4.5540796963946868E-2</v>
      </c>
      <c r="P30" s="28">
        <f t="shared" si="5"/>
        <v>0</v>
      </c>
      <c r="Q30" s="28">
        <f t="shared" si="6"/>
        <v>0</v>
      </c>
      <c r="R30" s="77">
        <f t="shared" si="7"/>
        <v>4.5923261390887288E-2</v>
      </c>
      <c r="S30" s="4">
        <f t="shared" si="8"/>
        <v>64</v>
      </c>
      <c r="T30" s="166">
        <f t="shared" si="9"/>
        <v>60</v>
      </c>
    </row>
    <row r="31" spans="1:20" x14ac:dyDescent="0.25">
      <c r="A31" s="2" t="s">
        <v>30</v>
      </c>
      <c r="B31" s="2" t="s">
        <v>39</v>
      </c>
      <c r="C31" s="142">
        <v>703</v>
      </c>
      <c r="D31" s="142">
        <v>137</v>
      </c>
      <c r="E31" s="142">
        <v>110</v>
      </c>
      <c r="F31" s="142">
        <v>20</v>
      </c>
      <c r="G31" s="142">
        <v>0</v>
      </c>
      <c r="H31" s="142">
        <v>0</v>
      </c>
      <c r="I31" s="143">
        <f t="shared" si="0"/>
        <v>970</v>
      </c>
      <c r="J31" s="22">
        <v>9617</v>
      </c>
      <c r="K31" s="12">
        <v>2899</v>
      </c>
      <c r="L31" s="77">
        <f t="shared" si="1"/>
        <v>7.3099719247166475E-2</v>
      </c>
      <c r="M31" s="28">
        <f t="shared" si="2"/>
        <v>4.7257675060365642E-2</v>
      </c>
      <c r="N31" s="28">
        <f t="shared" si="3"/>
        <v>1.1438078402828325E-2</v>
      </c>
      <c r="O31" s="28">
        <f t="shared" si="4"/>
        <v>6.8989306657468094E-3</v>
      </c>
      <c r="P31" s="28">
        <f t="shared" si="5"/>
        <v>0</v>
      </c>
      <c r="Q31" s="28">
        <f t="shared" si="6"/>
        <v>0</v>
      </c>
      <c r="R31" s="77">
        <f t="shared" si="7"/>
        <v>7.7500798977309049E-2</v>
      </c>
      <c r="S31" s="4">
        <f t="shared" si="8"/>
        <v>44</v>
      </c>
      <c r="T31" s="166">
        <f t="shared" si="9"/>
        <v>50</v>
      </c>
    </row>
    <row r="32" spans="1:20" x14ac:dyDescent="0.25">
      <c r="A32" s="2" t="s">
        <v>30</v>
      </c>
      <c r="B32" s="2" t="s">
        <v>40</v>
      </c>
      <c r="C32" s="142">
        <v>8</v>
      </c>
      <c r="D32" s="142">
        <v>1</v>
      </c>
      <c r="E32" s="142">
        <v>19</v>
      </c>
      <c r="F32" s="142">
        <v>95</v>
      </c>
      <c r="G32" s="142">
        <v>0</v>
      </c>
      <c r="H32" s="142">
        <v>0</v>
      </c>
      <c r="I32" s="143">
        <f t="shared" si="0"/>
        <v>123</v>
      </c>
      <c r="J32" s="22">
        <v>4141</v>
      </c>
      <c r="K32" s="12">
        <v>1476</v>
      </c>
      <c r="L32" s="77">
        <f t="shared" si="1"/>
        <v>1.9319005071238831E-3</v>
      </c>
      <c r="M32" s="28">
        <f t="shared" si="2"/>
        <v>6.7750677506775068E-4</v>
      </c>
      <c r="N32" s="28">
        <f t="shared" si="3"/>
        <v>4.5882637044192221E-3</v>
      </c>
      <c r="O32" s="28">
        <f t="shared" si="4"/>
        <v>6.4363143631436318E-2</v>
      </c>
      <c r="P32" s="28">
        <f t="shared" si="5"/>
        <v>0</v>
      </c>
      <c r="Q32" s="28">
        <f t="shared" si="6"/>
        <v>0</v>
      </c>
      <c r="R32" s="77">
        <f t="shared" si="7"/>
        <v>2.1897810218978103E-2</v>
      </c>
      <c r="S32" s="4">
        <f t="shared" si="8"/>
        <v>87</v>
      </c>
      <c r="T32" s="166">
        <f t="shared" si="9"/>
        <v>81</v>
      </c>
    </row>
    <row r="33" spans="1:20" x14ac:dyDescent="0.25">
      <c r="A33" s="2" t="s">
        <v>30</v>
      </c>
      <c r="B33" s="2" t="s">
        <v>41</v>
      </c>
      <c r="C33" s="142">
        <v>129</v>
      </c>
      <c r="D33" s="142">
        <v>2</v>
      </c>
      <c r="E33" s="142">
        <v>194</v>
      </c>
      <c r="F33" s="142">
        <v>1</v>
      </c>
      <c r="G33" s="142">
        <v>1532</v>
      </c>
      <c r="H33" s="142">
        <v>2</v>
      </c>
      <c r="I33" s="143">
        <f t="shared" si="0"/>
        <v>1860</v>
      </c>
      <c r="J33" s="22">
        <v>12141</v>
      </c>
      <c r="K33" s="12">
        <v>52</v>
      </c>
      <c r="L33" s="77">
        <f t="shared" si="1"/>
        <v>1.0625154435384235E-2</v>
      </c>
      <c r="M33" s="28">
        <f t="shared" si="2"/>
        <v>3.8461538461538464E-2</v>
      </c>
      <c r="N33" s="28">
        <f t="shared" si="3"/>
        <v>1.597891442220575E-2</v>
      </c>
      <c r="O33" s="28">
        <f t="shared" si="4"/>
        <v>1.9230769230769232E-2</v>
      </c>
      <c r="P33" s="28">
        <f t="shared" si="5"/>
        <v>0.12618400461247015</v>
      </c>
      <c r="Q33" s="28">
        <f t="shared" si="6"/>
        <v>3.8461538461538464E-2</v>
      </c>
      <c r="R33" s="77">
        <f t="shared" si="7"/>
        <v>0.15254654309849913</v>
      </c>
      <c r="S33" s="4">
        <f t="shared" si="8"/>
        <v>35</v>
      </c>
      <c r="T33" s="166">
        <f t="shared" si="9"/>
        <v>38</v>
      </c>
    </row>
    <row r="34" spans="1:20" x14ac:dyDescent="0.25">
      <c r="A34" s="2" t="s">
        <v>30</v>
      </c>
      <c r="B34" s="2" t="s">
        <v>42</v>
      </c>
      <c r="C34" s="142">
        <v>63</v>
      </c>
      <c r="D34" s="142">
        <v>4</v>
      </c>
      <c r="E34" s="142">
        <v>0</v>
      </c>
      <c r="F34" s="142">
        <v>0</v>
      </c>
      <c r="G34" s="142">
        <v>0</v>
      </c>
      <c r="H34" s="142">
        <v>0</v>
      </c>
      <c r="I34" s="143">
        <f t="shared" si="0"/>
        <v>67</v>
      </c>
      <c r="J34" s="22">
        <v>6942</v>
      </c>
      <c r="K34" s="12">
        <v>269</v>
      </c>
      <c r="L34" s="77">
        <f t="shared" si="1"/>
        <v>9.0751944684528962E-3</v>
      </c>
      <c r="M34" s="28">
        <f t="shared" si="2"/>
        <v>1.4869888475836431E-2</v>
      </c>
      <c r="N34" s="28">
        <f t="shared" si="3"/>
        <v>0</v>
      </c>
      <c r="O34" s="28">
        <f t="shared" si="4"/>
        <v>0</v>
      </c>
      <c r="P34" s="28">
        <f t="shared" si="5"/>
        <v>0</v>
      </c>
      <c r="Q34" s="28">
        <f t="shared" si="6"/>
        <v>0</v>
      </c>
      <c r="R34" s="77">
        <f t="shared" si="7"/>
        <v>9.2913604215781442E-3</v>
      </c>
      <c r="S34" s="4">
        <f t="shared" si="8"/>
        <v>92</v>
      </c>
      <c r="T34" s="166">
        <f t="shared" si="9"/>
        <v>92</v>
      </c>
    </row>
    <row r="35" spans="1:20" x14ac:dyDescent="0.25">
      <c r="A35" s="2" t="s">
        <v>30</v>
      </c>
      <c r="B35" s="2" t="s">
        <v>43</v>
      </c>
      <c r="C35" s="142">
        <v>2</v>
      </c>
      <c r="D35" s="142">
        <v>0</v>
      </c>
      <c r="E35" s="142">
        <v>2</v>
      </c>
      <c r="F35" s="142">
        <v>0</v>
      </c>
      <c r="G35" s="142">
        <v>0</v>
      </c>
      <c r="H35" s="142">
        <v>0</v>
      </c>
      <c r="I35" s="143">
        <f t="shared" si="0"/>
        <v>4</v>
      </c>
      <c r="J35" s="22">
        <v>5296</v>
      </c>
      <c r="K35" s="12">
        <v>844</v>
      </c>
      <c r="L35" s="77">
        <f t="shared" si="1"/>
        <v>3.7764350453172205E-4</v>
      </c>
      <c r="M35" s="28">
        <f t="shared" si="2"/>
        <v>0</v>
      </c>
      <c r="N35" s="28">
        <f t="shared" si="3"/>
        <v>3.7764350453172205E-4</v>
      </c>
      <c r="O35" s="28">
        <f t="shared" si="4"/>
        <v>0</v>
      </c>
      <c r="P35" s="28">
        <f t="shared" si="5"/>
        <v>0</v>
      </c>
      <c r="Q35" s="28">
        <f t="shared" si="6"/>
        <v>0</v>
      </c>
      <c r="R35" s="77">
        <f t="shared" si="7"/>
        <v>6.5146579804560263E-4</v>
      </c>
      <c r="S35" s="4">
        <f t="shared" si="8"/>
        <v>100</v>
      </c>
      <c r="T35" s="166">
        <f t="shared" si="9"/>
        <v>103</v>
      </c>
    </row>
    <row r="36" spans="1:20" x14ac:dyDescent="0.25">
      <c r="A36" s="2" t="s">
        <v>30</v>
      </c>
      <c r="B36" s="2" t="s">
        <v>44</v>
      </c>
      <c r="C36" s="142">
        <v>123</v>
      </c>
      <c r="D36" s="142">
        <v>68</v>
      </c>
      <c r="E36" s="142">
        <v>130</v>
      </c>
      <c r="F36" s="142">
        <v>102</v>
      </c>
      <c r="G36" s="142">
        <v>0</v>
      </c>
      <c r="H36" s="142">
        <v>0</v>
      </c>
      <c r="I36" s="143">
        <f t="shared" si="0"/>
        <v>423</v>
      </c>
      <c r="J36" s="22">
        <v>16444</v>
      </c>
      <c r="K36" s="12">
        <v>1659</v>
      </c>
      <c r="L36" s="77">
        <f t="shared" si="1"/>
        <v>7.4799318900510827E-3</v>
      </c>
      <c r="M36" s="28">
        <f t="shared" si="2"/>
        <v>4.0988547317661245E-2</v>
      </c>
      <c r="N36" s="28">
        <f t="shared" si="3"/>
        <v>7.9056190707856976E-3</v>
      </c>
      <c r="O36" s="28">
        <f t="shared" si="4"/>
        <v>6.148282097649186E-2</v>
      </c>
      <c r="P36" s="28">
        <f t="shared" si="5"/>
        <v>0</v>
      </c>
      <c r="Q36" s="28">
        <f t="shared" si="6"/>
        <v>0</v>
      </c>
      <c r="R36" s="77">
        <f t="shared" si="7"/>
        <v>2.336629287963321E-2</v>
      </c>
      <c r="S36" s="4">
        <f t="shared" si="8"/>
        <v>60</v>
      </c>
      <c r="T36" s="166">
        <f t="shared" si="9"/>
        <v>80</v>
      </c>
    </row>
    <row r="37" spans="1:20" x14ac:dyDescent="0.25">
      <c r="A37" s="2" t="s">
        <v>30</v>
      </c>
      <c r="B37" s="2" t="s">
        <v>45</v>
      </c>
      <c r="C37" s="142">
        <v>523</v>
      </c>
      <c r="D37" s="142">
        <v>117</v>
      </c>
      <c r="E37" s="142">
        <v>903</v>
      </c>
      <c r="F37" s="142">
        <v>258</v>
      </c>
      <c r="G37" s="142">
        <v>0</v>
      </c>
      <c r="H37" s="142">
        <v>0</v>
      </c>
      <c r="I37" s="143">
        <f t="shared" si="0"/>
        <v>1801</v>
      </c>
      <c r="J37" s="22">
        <v>8530</v>
      </c>
      <c r="K37" s="12">
        <v>2434</v>
      </c>
      <c r="L37" s="77">
        <f t="shared" si="1"/>
        <v>6.1313012895662371E-2</v>
      </c>
      <c r="M37" s="28">
        <f t="shared" si="2"/>
        <v>4.8069022185702547E-2</v>
      </c>
      <c r="N37" s="28">
        <f t="shared" si="3"/>
        <v>0.10586166471277843</v>
      </c>
      <c r="O37" s="28">
        <f t="shared" si="4"/>
        <v>0.10599835661462613</v>
      </c>
      <c r="P37" s="28">
        <f t="shared" si="5"/>
        <v>0</v>
      </c>
      <c r="Q37" s="28">
        <f t="shared" si="6"/>
        <v>0</v>
      </c>
      <c r="R37" s="77">
        <f t="shared" si="7"/>
        <v>0.16426486683692082</v>
      </c>
      <c r="S37" s="4">
        <f t="shared" si="8"/>
        <v>37</v>
      </c>
      <c r="T37" s="166">
        <f t="shared" si="9"/>
        <v>34</v>
      </c>
    </row>
    <row r="38" spans="1:20" x14ac:dyDescent="0.25">
      <c r="A38" s="2" t="s">
        <v>30</v>
      </c>
      <c r="B38" s="2" t="s">
        <v>46</v>
      </c>
      <c r="C38" s="142">
        <v>108</v>
      </c>
      <c r="D38" s="142">
        <v>19</v>
      </c>
      <c r="E38" s="142">
        <v>602</v>
      </c>
      <c r="F38" s="142">
        <v>120</v>
      </c>
      <c r="G38" s="142">
        <v>0</v>
      </c>
      <c r="H38" s="142">
        <v>0</v>
      </c>
      <c r="I38" s="143">
        <f t="shared" si="0"/>
        <v>849</v>
      </c>
      <c r="J38" s="22">
        <v>22604</v>
      </c>
      <c r="K38" s="12">
        <v>6307</v>
      </c>
      <c r="L38" s="77">
        <f t="shared" si="1"/>
        <v>4.7779154132012031E-3</v>
      </c>
      <c r="M38" s="28">
        <f t="shared" si="2"/>
        <v>3.0125257650229905E-3</v>
      </c>
      <c r="N38" s="28">
        <f t="shared" si="3"/>
        <v>2.6632454432843743E-2</v>
      </c>
      <c r="O38" s="28">
        <f t="shared" si="4"/>
        <v>1.9026478515934676E-2</v>
      </c>
      <c r="P38" s="28">
        <f t="shared" si="5"/>
        <v>0</v>
      </c>
      <c r="Q38" s="28">
        <f t="shared" si="6"/>
        <v>0</v>
      </c>
      <c r="R38" s="77">
        <f t="shared" si="7"/>
        <v>2.9365985265124E-2</v>
      </c>
      <c r="S38" s="4">
        <f t="shared" si="8"/>
        <v>47</v>
      </c>
      <c r="T38" s="166">
        <f t="shared" si="9"/>
        <v>71</v>
      </c>
    </row>
    <row r="39" spans="1:20" x14ac:dyDescent="0.25">
      <c r="A39" s="2" t="s">
        <v>30</v>
      </c>
      <c r="B39" s="2" t="s">
        <v>47</v>
      </c>
      <c r="C39" s="142">
        <v>395</v>
      </c>
      <c r="D39" s="142">
        <v>191</v>
      </c>
      <c r="E39" s="142">
        <v>334</v>
      </c>
      <c r="F39" s="142">
        <v>278</v>
      </c>
      <c r="G39" s="142">
        <v>0</v>
      </c>
      <c r="H39" s="142">
        <v>0</v>
      </c>
      <c r="I39" s="143">
        <f t="shared" si="0"/>
        <v>1198</v>
      </c>
      <c r="J39" s="22">
        <v>4370</v>
      </c>
      <c r="K39" s="12">
        <v>1962</v>
      </c>
      <c r="L39" s="77">
        <f t="shared" si="1"/>
        <v>9.0389016018306637E-2</v>
      </c>
      <c r="M39" s="28">
        <f t="shared" si="2"/>
        <v>9.7349643221202847E-2</v>
      </c>
      <c r="N39" s="28">
        <f t="shared" si="3"/>
        <v>7.6430205949656757E-2</v>
      </c>
      <c r="O39" s="28">
        <f t="shared" si="4"/>
        <v>0.14169215086646278</v>
      </c>
      <c r="P39" s="28">
        <f t="shared" si="5"/>
        <v>0</v>
      </c>
      <c r="Q39" s="28">
        <f t="shared" si="6"/>
        <v>0</v>
      </c>
      <c r="R39" s="77">
        <f t="shared" si="7"/>
        <v>0.18919772583701833</v>
      </c>
      <c r="S39" s="4">
        <f t="shared" si="8"/>
        <v>40</v>
      </c>
      <c r="T39" s="166">
        <f t="shared" si="9"/>
        <v>31</v>
      </c>
    </row>
    <row r="40" spans="1:20" x14ac:dyDescent="0.25">
      <c r="A40" s="2" t="s">
        <v>30</v>
      </c>
      <c r="B40" s="2" t="s">
        <v>48</v>
      </c>
      <c r="C40" s="142">
        <v>40</v>
      </c>
      <c r="D40" s="142">
        <v>37</v>
      </c>
      <c r="E40" s="142">
        <v>65</v>
      </c>
      <c r="F40" s="142">
        <v>0</v>
      </c>
      <c r="G40" s="142">
        <v>0</v>
      </c>
      <c r="H40" s="142">
        <v>0</v>
      </c>
      <c r="I40" s="143">
        <f t="shared" si="0"/>
        <v>142</v>
      </c>
      <c r="J40" s="22">
        <v>18045</v>
      </c>
      <c r="K40" s="12">
        <v>5643</v>
      </c>
      <c r="L40" s="77">
        <f t="shared" si="1"/>
        <v>2.2166805209199226E-3</v>
      </c>
      <c r="M40" s="28">
        <f t="shared" si="2"/>
        <v>6.5567960304802409E-3</v>
      </c>
      <c r="N40" s="28">
        <f t="shared" si="3"/>
        <v>3.6021058464948737E-3</v>
      </c>
      <c r="O40" s="28">
        <f t="shared" si="4"/>
        <v>0</v>
      </c>
      <c r="P40" s="28">
        <f t="shared" si="5"/>
        <v>0</v>
      </c>
      <c r="Q40" s="28">
        <f t="shared" si="6"/>
        <v>0</v>
      </c>
      <c r="R40" s="77">
        <f t="shared" si="7"/>
        <v>5.9945964201283354E-3</v>
      </c>
      <c r="S40" s="4">
        <f t="shared" si="8"/>
        <v>84</v>
      </c>
      <c r="T40" s="166">
        <f t="shared" si="9"/>
        <v>97</v>
      </c>
    </row>
    <row r="41" spans="1:20" x14ac:dyDescent="0.25">
      <c r="A41" s="2" t="s">
        <v>30</v>
      </c>
      <c r="B41" s="2" t="s">
        <v>49</v>
      </c>
      <c r="C41" s="142">
        <v>2371</v>
      </c>
      <c r="D41" s="142">
        <v>253</v>
      </c>
      <c r="E41" s="142">
        <v>3873</v>
      </c>
      <c r="F41" s="142">
        <v>347</v>
      </c>
      <c r="G41" s="142">
        <v>1504</v>
      </c>
      <c r="H41" s="142">
        <v>62</v>
      </c>
      <c r="I41" s="143">
        <f t="shared" si="0"/>
        <v>8410</v>
      </c>
      <c r="J41" s="22">
        <v>50025</v>
      </c>
      <c r="K41" s="12">
        <v>4886</v>
      </c>
      <c r="L41" s="77">
        <f t="shared" si="1"/>
        <v>4.7396301849075465E-2</v>
      </c>
      <c r="M41" s="28">
        <f t="shared" si="2"/>
        <v>5.1780597625869833E-2</v>
      </c>
      <c r="N41" s="28">
        <f t="shared" si="3"/>
        <v>7.7421289355322345E-2</v>
      </c>
      <c r="O41" s="28">
        <f t="shared" si="4"/>
        <v>7.1019238641015142E-2</v>
      </c>
      <c r="P41" s="28">
        <f t="shared" si="5"/>
        <v>3.0064967516241881E-2</v>
      </c>
      <c r="Q41" s="28">
        <f t="shared" si="6"/>
        <v>1.2689316414244782E-2</v>
      </c>
      <c r="R41" s="77">
        <f t="shared" si="7"/>
        <v>0.15315692666314581</v>
      </c>
      <c r="S41" s="4">
        <f t="shared" si="8"/>
        <v>16</v>
      </c>
      <c r="T41" s="166">
        <f t="shared" si="9"/>
        <v>37</v>
      </c>
    </row>
    <row r="42" spans="1:20" s="15" customFormat="1" x14ac:dyDescent="0.25">
      <c r="A42" s="15" t="s">
        <v>30</v>
      </c>
      <c r="B42" s="15" t="s">
        <v>50</v>
      </c>
      <c r="C42" s="144">
        <v>212</v>
      </c>
      <c r="D42" s="144">
        <v>100</v>
      </c>
      <c r="E42" s="144">
        <v>212</v>
      </c>
      <c r="F42" s="144">
        <v>31</v>
      </c>
      <c r="G42" s="144">
        <v>0</v>
      </c>
      <c r="H42" s="144">
        <v>0</v>
      </c>
      <c r="I42" s="145">
        <f t="shared" si="0"/>
        <v>555</v>
      </c>
      <c r="J42" s="23">
        <v>12122</v>
      </c>
      <c r="K42" s="17">
        <v>14591</v>
      </c>
      <c r="L42" s="81">
        <f t="shared" si="1"/>
        <v>1.7488863223890448E-2</v>
      </c>
      <c r="M42" s="80">
        <f t="shared" si="2"/>
        <v>6.8535398533342475E-3</v>
      </c>
      <c r="N42" s="80">
        <f t="shared" si="3"/>
        <v>1.7488863223890448E-2</v>
      </c>
      <c r="O42" s="80">
        <f t="shared" si="4"/>
        <v>2.1245973545336166E-3</v>
      </c>
      <c r="P42" s="80">
        <f t="shared" si="5"/>
        <v>0</v>
      </c>
      <c r="Q42" s="80">
        <f t="shared" si="6"/>
        <v>0</v>
      </c>
      <c r="R42" s="81">
        <f t="shared" si="7"/>
        <v>2.0776401003256843E-2</v>
      </c>
      <c r="S42" s="164">
        <f t="shared" si="8"/>
        <v>55</v>
      </c>
      <c r="T42" s="167">
        <f t="shared" si="9"/>
        <v>83</v>
      </c>
    </row>
    <row r="43" spans="1:20" s="13" customFormat="1" x14ac:dyDescent="0.25">
      <c r="A43" s="13" t="s">
        <v>51</v>
      </c>
      <c r="B43" s="13" t="s">
        <v>52</v>
      </c>
      <c r="C43" s="150">
        <v>306</v>
      </c>
      <c r="D43" s="150">
        <v>26</v>
      </c>
      <c r="E43" s="150">
        <v>11</v>
      </c>
      <c r="F43" s="150">
        <v>1</v>
      </c>
      <c r="G43" s="150">
        <v>0</v>
      </c>
      <c r="H43" s="150">
        <v>0</v>
      </c>
      <c r="I43" s="143">
        <f t="shared" si="0"/>
        <v>344</v>
      </c>
      <c r="J43" s="24">
        <v>831</v>
      </c>
      <c r="K43" s="14">
        <v>40</v>
      </c>
      <c r="L43" s="77">
        <f t="shared" si="1"/>
        <v>0.36823104693140796</v>
      </c>
      <c r="M43" s="28">
        <f t="shared" si="2"/>
        <v>0.65</v>
      </c>
      <c r="N43" s="79">
        <f t="shared" si="3"/>
        <v>1.3237063778580024E-2</v>
      </c>
      <c r="O43" s="79">
        <f t="shared" si="4"/>
        <v>2.5000000000000001E-2</v>
      </c>
      <c r="P43" s="79">
        <f t="shared" si="5"/>
        <v>0</v>
      </c>
      <c r="Q43" s="79">
        <f t="shared" si="6"/>
        <v>0</v>
      </c>
      <c r="R43" s="77">
        <f t="shared" si="7"/>
        <v>0.3949483352468427</v>
      </c>
      <c r="S43" s="4">
        <f t="shared" si="8"/>
        <v>68</v>
      </c>
      <c r="T43" s="166">
        <f t="shared" si="9"/>
        <v>20</v>
      </c>
    </row>
    <row r="44" spans="1:20" x14ac:dyDescent="0.25">
      <c r="A44" s="2" t="s">
        <v>51</v>
      </c>
      <c r="B44" s="2" t="s">
        <v>53</v>
      </c>
      <c r="C44" s="142">
        <v>844</v>
      </c>
      <c r="D44" s="142">
        <v>5</v>
      </c>
      <c r="E44" s="142">
        <v>259</v>
      </c>
      <c r="F44" s="142">
        <v>2</v>
      </c>
      <c r="G44" s="142">
        <v>0</v>
      </c>
      <c r="H44" s="142">
        <v>0</v>
      </c>
      <c r="I44" s="143">
        <f t="shared" si="0"/>
        <v>1110</v>
      </c>
      <c r="J44" s="24">
        <v>3140</v>
      </c>
      <c r="K44" s="14">
        <v>115</v>
      </c>
      <c r="L44" s="77">
        <f t="shared" si="1"/>
        <v>0.26878980891719745</v>
      </c>
      <c r="M44" s="28">
        <f t="shared" si="2"/>
        <v>4.3478260869565216E-2</v>
      </c>
      <c r="N44" s="28">
        <f t="shared" si="3"/>
        <v>8.2484076433121015E-2</v>
      </c>
      <c r="O44" s="28">
        <f t="shared" si="4"/>
        <v>1.7391304347826087E-2</v>
      </c>
      <c r="P44" s="28">
        <f t="shared" si="5"/>
        <v>0</v>
      </c>
      <c r="Q44" s="28">
        <f t="shared" si="6"/>
        <v>0</v>
      </c>
      <c r="R44" s="77">
        <f t="shared" si="7"/>
        <v>0.34101382488479265</v>
      </c>
      <c r="S44" s="4">
        <f t="shared" si="8"/>
        <v>41</v>
      </c>
      <c r="T44" s="166">
        <f t="shared" si="9"/>
        <v>21</v>
      </c>
    </row>
    <row r="45" spans="1:20" x14ac:dyDescent="0.25">
      <c r="A45" s="2" t="s">
        <v>51</v>
      </c>
      <c r="B45" s="2" t="s">
        <v>54</v>
      </c>
      <c r="C45" s="142">
        <v>128</v>
      </c>
      <c r="D45" s="142">
        <v>43</v>
      </c>
      <c r="E45" s="142">
        <v>125</v>
      </c>
      <c r="F45" s="142">
        <v>18</v>
      </c>
      <c r="G45" s="142">
        <v>0</v>
      </c>
      <c r="H45" s="142">
        <v>0</v>
      </c>
      <c r="I45" s="143">
        <f t="shared" si="0"/>
        <v>314</v>
      </c>
      <c r="J45" s="24">
        <v>2309</v>
      </c>
      <c r="K45" s="14">
        <v>311</v>
      </c>
      <c r="L45" s="77">
        <f t="shared" si="1"/>
        <v>5.5435253356431353E-2</v>
      </c>
      <c r="M45" s="28">
        <f t="shared" si="2"/>
        <v>0.13826366559485531</v>
      </c>
      <c r="N45" s="28">
        <f t="shared" si="3"/>
        <v>5.4135989605889993E-2</v>
      </c>
      <c r="O45" s="28">
        <f t="shared" si="4"/>
        <v>5.7877813504823149E-2</v>
      </c>
      <c r="P45" s="28">
        <f t="shared" si="5"/>
        <v>0</v>
      </c>
      <c r="Q45" s="28">
        <f t="shared" si="6"/>
        <v>0</v>
      </c>
      <c r="R45" s="77">
        <f t="shared" si="7"/>
        <v>0.11984732824427481</v>
      </c>
      <c r="S45" s="4">
        <f t="shared" si="8"/>
        <v>70</v>
      </c>
      <c r="T45" s="166">
        <f t="shared" si="9"/>
        <v>41</v>
      </c>
    </row>
    <row r="46" spans="1:20" x14ac:dyDescent="0.25">
      <c r="A46" s="2" t="s">
        <v>51</v>
      </c>
      <c r="B46" s="2" t="s">
        <v>55</v>
      </c>
      <c r="C46" s="142">
        <v>562</v>
      </c>
      <c r="D46" s="142">
        <v>15</v>
      </c>
      <c r="E46" s="142">
        <v>1289</v>
      </c>
      <c r="F46" s="142">
        <v>67</v>
      </c>
      <c r="G46" s="142">
        <v>0</v>
      </c>
      <c r="H46" s="142">
        <v>0</v>
      </c>
      <c r="I46" s="143">
        <f t="shared" si="0"/>
        <v>1933</v>
      </c>
      <c r="J46" s="24">
        <v>3669</v>
      </c>
      <c r="K46" s="14">
        <v>200</v>
      </c>
      <c r="L46" s="77">
        <f t="shared" si="1"/>
        <v>0.15317525211229219</v>
      </c>
      <c r="M46" s="28">
        <f t="shared" si="2"/>
        <v>7.4999999999999997E-2</v>
      </c>
      <c r="N46" s="28">
        <f t="shared" si="3"/>
        <v>0.35132188607249931</v>
      </c>
      <c r="O46" s="28">
        <f t="shared" si="4"/>
        <v>0.33500000000000002</v>
      </c>
      <c r="P46" s="28">
        <f t="shared" si="5"/>
        <v>0</v>
      </c>
      <c r="Q46" s="28">
        <f t="shared" si="6"/>
        <v>0</v>
      </c>
      <c r="R46" s="77">
        <f t="shared" si="7"/>
        <v>0.49961230292065134</v>
      </c>
      <c r="S46" s="4">
        <f t="shared" si="8"/>
        <v>33</v>
      </c>
      <c r="T46" s="166">
        <f t="shared" si="9"/>
        <v>15</v>
      </c>
    </row>
    <row r="47" spans="1:20" x14ac:dyDescent="0.25">
      <c r="A47" s="2" t="s">
        <v>51</v>
      </c>
      <c r="B47" s="2" t="s">
        <v>56</v>
      </c>
      <c r="C47" s="142">
        <v>566</v>
      </c>
      <c r="D47" s="142">
        <v>24</v>
      </c>
      <c r="E47" s="142">
        <v>177</v>
      </c>
      <c r="F47" s="142">
        <v>11</v>
      </c>
      <c r="G47" s="142">
        <v>0</v>
      </c>
      <c r="H47" s="142">
        <v>0</v>
      </c>
      <c r="I47" s="143">
        <f t="shared" si="0"/>
        <v>778</v>
      </c>
      <c r="J47" s="24">
        <v>4552</v>
      </c>
      <c r="K47" s="14">
        <v>419</v>
      </c>
      <c r="L47" s="77">
        <f t="shared" si="1"/>
        <v>0.12434094903339192</v>
      </c>
      <c r="M47" s="28">
        <f t="shared" si="2"/>
        <v>5.7279236276849645E-2</v>
      </c>
      <c r="N47" s="28">
        <f t="shared" si="3"/>
        <v>3.8884007029876974E-2</v>
      </c>
      <c r="O47" s="28">
        <f t="shared" si="4"/>
        <v>2.6252983293556086E-2</v>
      </c>
      <c r="P47" s="28">
        <f t="shared" si="5"/>
        <v>0</v>
      </c>
      <c r="Q47" s="28">
        <f t="shared" si="6"/>
        <v>0</v>
      </c>
      <c r="R47" s="77">
        <f t="shared" si="7"/>
        <v>0.15650774492053912</v>
      </c>
      <c r="S47" s="4">
        <f t="shared" si="8"/>
        <v>51</v>
      </c>
      <c r="T47" s="166">
        <f t="shared" si="9"/>
        <v>36</v>
      </c>
    </row>
    <row r="48" spans="1:20" x14ac:dyDescent="0.25">
      <c r="A48" s="2" t="s">
        <v>51</v>
      </c>
      <c r="B48" s="2" t="s">
        <v>57</v>
      </c>
      <c r="C48" s="142">
        <v>1482</v>
      </c>
      <c r="D48" s="142">
        <v>40</v>
      </c>
      <c r="E48" s="142">
        <v>1107</v>
      </c>
      <c r="F48" s="142">
        <v>85</v>
      </c>
      <c r="G48" s="142">
        <v>565</v>
      </c>
      <c r="H48" s="142">
        <v>0</v>
      </c>
      <c r="I48" s="143">
        <f t="shared" si="0"/>
        <v>3279</v>
      </c>
      <c r="J48" s="24">
        <v>16085</v>
      </c>
      <c r="K48" s="14">
        <v>402</v>
      </c>
      <c r="L48" s="77">
        <f t="shared" si="1"/>
        <v>9.2135529996891508E-2</v>
      </c>
      <c r="M48" s="28">
        <f t="shared" si="2"/>
        <v>9.950248756218906E-2</v>
      </c>
      <c r="N48" s="28">
        <f t="shared" si="3"/>
        <v>6.8821883742617343E-2</v>
      </c>
      <c r="O48" s="28">
        <f t="shared" si="4"/>
        <v>0.21144278606965175</v>
      </c>
      <c r="P48" s="28">
        <f t="shared" si="5"/>
        <v>3.5125893689773077E-2</v>
      </c>
      <c r="Q48" s="28">
        <f t="shared" si="6"/>
        <v>0</v>
      </c>
      <c r="R48" s="77">
        <f t="shared" si="7"/>
        <v>0.19888396918784496</v>
      </c>
      <c r="S48" s="4">
        <f t="shared" si="8"/>
        <v>28</v>
      </c>
      <c r="T48" s="166">
        <f t="shared" si="9"/>
        <v>29</v>
      </c>
    </row>
    <row r="49" spans="1:20" x14ac:dyDescent="0.25">
      <c r="A49" s="2" t="s">
        <v>51</v>
      </c>
      <c r="B49" s="2" t="s">
        <v>58</v>
      </c>
      <c r="C49" s="142">
        <v>175</v>
      </c>
      <c r="D49" s="142">
        <v>4</v>
      </c>
      <c r="E49" s="142">
        <v>27</v>
      </c>
      <c r="F49" s="142">
        <v>3</v>
      </c>
      <c r="G49" s="142">
        <v>0</v>
      </c>
      <c r="H49" s="142">
        <v>0</v>
      </c>
      <c r="I49" s="143">
        <f t="shared" si="0"/>
        <v>209</v>
      </c>
      <c r="J49" s="24">
        <v>793</v>
      </c>
      <c r="K49" s="14">
        <v>19</v>
      </c>
      <c r="L49" s="77">
        <f t="shared" si="1"/>
        <v>0.22068095838587642</v>
      </c>
      <c r="M49" s="28">
        <f t="shared" si="2"/>
        <v>0.21052631578947367</v>
      </c>
      <c r="N49" s="28">
        <f t="shared" si="3"/>
        <v>3.4047919293820936E-2</v>
      </c>
      <c r="O49" s="28">
        <f t="shared" si="4"/>
        <v>0.15789473684210525</v>
      </c>
      <c r="P49" s="28">
        <f t="shared" si="5"/>
        <v>0</v>
      </c>
      <c r="Q49" s="28">
        <f t="shared" si="6"/>
        <v>0</v>
      </c>
      <c r="R49" s="77">
        <f t="shared" si="7"/>
        <v>0.25738916256157635</v>
      </c>
      <c r="S49" s="4">
        <f t="shared" si="8"/>
        <v>75</v>
      </c>
      <c r="T49" s="166">
        <f t="shared" si="9"/>
        <v>23</v>
      </c>
    </row>
    <row r="50" spans="1:20" x14ac:dyDescent="0.25">
      <c r="A50" s="2" t="s">
        <v>51</v>
      </c>
      <c r="B50" s="2" t="s">
        <v>59</v>
      </c>
      <c r="C50" s="142">
        <v>433</v>
      </c>
      <c r="D50" s="142">
        <v>93</v>
      </c>
      <c r="E50" s="142">
        <v>248</v>
      </c>
      <c r="F50" s="142">
        <v>37</v>
      </c>
      <c r="G50" s="142">
        <v>0</v>
      </c>
      <c r="H50" s="142">
        <v>0</v>
      </c>
      <c r="I50" s="143">
        <f t="shared" si="0"/>
        <v>811</v>
      </c>
      <c r="J50" s="24">
        <v>3967</v>
      </c>
      <c r="K50" s="14">
        <v>324</v>
      </c>
      <c r="L50" s="77">
        <f t="shared" si="1"/>
        <v>0.10915049155533149</v>
      </c>
      <c r="M50" s="28">
        <f t="shared" si="2"/>
        <v>0.28703703703703703</v>
      </c>
      <c r="N50" s="28">
        <f t="shared" si="3"/>
        <v>6.2515754978573229E-2</v>
      </c>
      <c r="O50" s="28">
        <f t="shared" si="4"/>
        <v>0.11419753086419752</v>
      </c>
      <c r="P50" s="28">
        <f t="shared" si="5"/>
        <v>0</v>
      </c>
      <c r="Q50" s="28">
        <f t="shared" si="6"/>
        <v>0</v>
      </c>
      <c r="R50" s="77">
        <f t="shared" si="7"/>
        <v>0.18900023304591004</v>
      </c>
      <c r="S50" s="4">
        <f t="shared" si="8"/>
        <v>48</v>
      </c>
      <c r="T50" s="166">
        <f t="shared" si="9"/>
        <v>32</v>
      </c>
    </row>
    <row r="51" spans="1:20" x14ac:dyDescent="0.25">
      <c r="A51" s="2" t="s">
        <v>51</v>
      </c>
      <c r="B51" s="2" t="s">
        <v>60</v>
      </c>
      <c r="C51" s="142">
        <v>2052</v>
      </c>
      <c r="D51" s="142">
        <v>199</v>
      </c>
      <c r="E51" s="142">
        <v>2027</v>
      </c>
      <c r="F51" s="142">
        <v>410</v>
      </c>
      <c r="G51" s="142">
        <v>0</v>
      </c>
      <c r="H51" s="142">
        <v>0</v>
      </c>
      <c r="I51" s="143">
        <f t="shared" si="0"/>
        <v>4688</v>
      </c>
      <c r="J51" s="24">
        <v>13767</v>
      </c>
      <c r="K51" s="14">
        <v>1148</v>
      </c>
      <c r="L51" s="77">
        <f t="shared" si="1"/>
        <v>0.1490520810634125</v>
      </c>
      <c r="M51" s="28">
        <f t="shared" si="2"/>
        <v>0.17334494773519163</v>
      </c>
      <c r="N51" s="28">
        <f t="shared" si="3"/>
        <v>0.14723614440328323</v>
      </c>
      <c r="O51" s="28">
        <f t="shared" si="4"/>
        <v>0.35714285714285715</v>
      </c>
      <c r="P51" s="28">
        <f t="shared" si="5"/>
        <v>0</v>
      </c>
      <c r="Q51" s="28">
        <f t="shared" si="6"/>
        <v>0</v>
      </c>
      <c r="R51" s="77">
        <f t="shared" si="7"/>
        <v>0.31431444854173651</v>
      </c>
      <c r="S51" s="4">
        <f t="shared" si="8"/>
        <v>21</v>
      </c>
      <c r="T51" s="166">
        <f t="shared" si="9"/>
        <v>22</v>
      </c>
    </row>
    <row r="52" spans="1:20" x14ac:dyDescent="0.25">
      <c r="A52" s="2" t="s">
        <v>51</v>
      </c>
      <c r="B52" s="2" t="s">
        <v>61</v>
      </c>
      <c r="C52" s="142">
        <v>45</v>
      </c>
      <c r="D52" s="142">
        <v>9</v>
      </c>
      <c r="E52" s="142">
        <v>9</v>
      </c>
      <c r="F52" s="142">
        <v>6</v>
      </c>
      <c r="G52" s="142">
        <v>0</v>
      </c>
      <c r="H52" s="142">
        <v>0</v>
      </c>
      <c r="I52" s="143">
        <f t="shared" si="0"/>
        <v>69</v>
      </c>
      <c r="J52" s="24">
        <v>2168</v>
      </c>
      <c r="K52" s="14">
        <v>644</v>
      </c>
      <c r="L52" s="77">
        <f t="shared" si="1"/>
        <v>2.0756457564575646E-2</v>
      </c>
      <c r="M52" s="28">
        <f t="shared" si="2"/>
        <v>1.3975155279503106E-2</v>
      </c>
      <c r="N52" s="28">
        <f t="shared" si="3"/>
        <v>4.1512915129151293E-3</v>
      </c>
      <c r="O52" s="28">
        <f t="shared" si="4"/>
        <v>9.316770186335404E-3</v>
      </c>
      <c r="P52" s="28">
        <f t="shared" si="5"/>
        <v>0</v>
      </c>
      <c r="Q52" s="28">
        <f t="shared" si="6"/>
        <v>0</v>
      </c>
      <c r="R52" s="77">
        <f t="shared" si="7"/>
        <v>2.4537695590327171E-2</v>
      </c>
      <c r="S52" s="4">
        <f t="shared" si="8"/>
        <v>90</v>
      </c>
      <c r="T52" s="166">
        <f t="shared" si="9"/>
        <v>77</v>
      </c>
    </row>
    <row r="53" spans="1:20" x14ac:dyDescent="0.25">
      <c r="A53" s="2" t="s">
        <v>51</v>
      </c>
      <c r="B53" s="2" t="s">
        <v>62</v>
      </c>
      <c r="C53" s="142">
        <v>39</v>
      </c>
      <c r="D53" s="142">
        <v>21</v>
      </c>
      <c r="E53" s="142">
        <v>76</v>
      </c>
      <c r="F53" s="142">
        <v>0</v>
      </c>
      <c r="G53" s="142">
        <v>0</v>
      </c>
      <c r="H53" s="142">
        <v>0</v>
      </c>
      <c r="I53" s="143">
        <f t="shared" si="0"/>
        <v>136</v>
      </c>
      <c r="J53" s="24">
        <v>2992</v>
      </c>
      <c r="K53" s="14">
        <v>230</v>
      </c>
      <c r="L53" s="77">
        <f t="shared" si="1"/>
        <v>1.303475935828877E-2</v>
      </c>
      <c r="M53" s="28">
        <f t="shared" si="2"/>
        <v>9.1304347826086957E-2</v>
      </c>
      <c r="N53" s="28">
        <f t="shared" si="3"/>
        <v>2.5401069518716578E-2</v>
      </c>
      <c r="O53" s="28">
        <f t="shared" si="4"/>
        <v>0</v>
      </c>
      <c r="P53" s="28">
        <f t="shared" si="5"/>
        <v>0</v>
      </c>
      <c r="Q53" s="28">
        <f t="shared" si="6"/>
        <v>0</v>
      </c>
      <c r="R53" s="77">
        <f t="shared" si="7"/>
        <v>4.2209807572936062E-2</v>
      </c>
      <c r="S53" s="4">
        <f t="shared" si="8"/>
        <v>85</v>
      </c>
      <c r="T53" s="166">
        <f t="shared" si="9"/>
        <v>63</v>
      </c>
    </row>
    <row r="54" spans="1:20" s="15" customFormat="1" x14ac:dyDescent="0.25">
      <c r="A54" s="15" t="s">
        <v>51</v>
      </c>
      <c r="B54" s="15" t="s">
        <v>63</v>
      </c>
      <c r="C54" s="144">
        <v>2175</v>
      </c>
      <c r="D54" s="144">
        <v>78</v>
      </c>
      <c r="E54" s="144">
        <v>1319</v>
      </c>
      <c r="F54" s="144">
        <v>56</v>
      </c>
      <c r="G54" s="144">
        <v>0</v>
      </c>
      <c r="H54" s="144">
        <v>0</v>
      </c>
      <c r="I54" s="145">
        <f t="shared" si="0"/>
        <v>3628</v>
      </c>
      <c r="J54" s="25">
        <v>21122</v>
      </c>
      <c r="K54" s="18">
        <v>991</v>
      </c>
      <c r="L54" s="81">
        <f t="shared" si="1"/>
        <v>0.10297320329514251</v>
      </c>
      <c r="M54" s="80">
        <f t="shared" si="2"/>
        <v>7.8708375378405651E-2</v>
      </c>
      <c r="N54" s="80">
        <f t="shared" si="3"/>
        <v>6.2446737998295615E-2</v>
      </c>
      <c r="O54" s="80">
        <f t="shared" si="4"/>
        <v>5.6508577194752774E-2</v>
      </c>
      <c r="P54" s="80">
        <f t="shared" si="5"/>
        <v>0</v>
      </c>
      <c r="Q54" s="80">
        <f t="shared" si="6"/>
        <v>0</v>
      </c>
      <c r="R54" s="81">
        <f t="shared" si="7"/>
        <v>0.16406638628860851</v>
      </c>
      <c r="S54" s="164">
        <f t="shared" si="8"/>
        <v>26</v>
      </c>
      <c r="T54" s="167">
        <f t="shared" si="9"/>
        <v>35</v>
      </c>
    </row>
    <row r="55" spans="1:20" s="13" customFormat="1" x14ac:dyDescent="0.25">
      <c r="A55" s="13" t="s">
        <v>64</v>
      </c>
      <c r="B55" s="13" t="s">
        <v>65</v>
      </c>
      <c r="C55" s="150">
        <v>4</v>
      </c>
      <c r="D55" s="150">
        <v>1</v>
      </c>
      <c r="E55" s="150">
        <v>166</v>
      </c>
      <c r="F55" s="150">
        <v>0</v>
      </c>
      <c r="G55" s="150">
        <v>0</v>
      </c>
      <c r="H55" s="150">
        <v>0</v>
      </c>
      <c r="I55" s="143">
        <f t="shared" si="0"/>
        <v>171</v>
      </c>
      <c r="J55" s="24">
        <v>4784</v>
      </c>
      <c r="K55" s="14">
        <v>25</v>
      </c>
      <c r="L55" s="77">
        <f t="shared" si="1"/>
        <v>8.3612040133779263E-4</v>
      </c>
      <c r="M55" s="28">
        <f t="shared" si="2"/>
        <v>0.04</v>
      </c>
      <c r="N55" s="79">
        <f t="shared" si="3"/>
        <v>3.4698996655518392E-2</v>
      </c>
      <c r="O55" s="79">
        <f t="shared" si="4"/>
        <v>0</v>
      </c>
      <c r="P55" s="79">
        <f t="shared" si="5"/>
        <v>0</v>
      </c>
      <c r="Q55" s="79">
        <f t="shared" si="6"/>
        <v>0</v>
      </c>
      <c r="R55" s="77">
        <f t="shared" si="7"/>
        <v>3.5558328134747345E-2</v>
      </c>
      <c r="S55" s="4">
        <f t="shared" si="8"/>
        <v>79</v>
      </c>
      <c r="T55" s="166">
        <f t="shared" si="9"/>
        <v>68</v>
      </c>
    </row>
    <row r="56" spans="1:20" x14ac:dyDescent="0.25">
      <c r="A56" s="2" t="s">
        <v>64</v>
      </c>
      <c r="B56" s="2" t="s">
        <v>129</v>
      </c>
      <c r="C56" s="142">
        <v>82</v>
      </c>
      <c r="D56" s="142">
        <v>23</v>
      </c>
      <c r="E56" s="142">
        <v>21</v>
      </c>
      <c r="F56" s="142">
        <v>2</v>
      </c>
      <c r="G56" s="142">
        <v>0</v>
      </c>
      <c r="H56" s="142">
        <v>0</v>
      </c>
      <c r="I56" s="143">
        <f t="shared" si="0"/>
        <v>128</v>
      </c>
      <c r="J56" s="24">
        <v>1080</v>
      </c>
      <c r="K56" s="14">
        <v>180</v>
      </c>
      <c r="L56" s="77">
        <f t="shared" si="1"/>
        <v>7.5925925925925924E-2</v>
      </c>
      <c r="M56" s="28">
        <f t="shared" si="2"/>
        <v>0.12777777777777777</v>
      </c>
      <c r="N56" s="28">
        <f t="shared" si="3"/>
        <v>1.9444444444444445E-2</v>
      </c>
      <c r="O56" s="28">
        <f t="shared" si="4"/>
        <v>1.1111111111111112E-2</v>
      </c>
      <c r="P56" s="28">
        <f t="shared" si="5"/>
        <v>0</v>
      </c>
      <c r="Q56" s="28">
        <f t="shared" si="6"/>
        <v>0</v>
      </c>
      <c r="R56" s="77">
        <f t="shared" si="7"/>
        <v>0.10158730158730159</v>
      </c>
      <c r="S56" s="4">
        <f t="shared" si="8"/>
        <v>86</v>
      </c>
      <c r="T56" s="166">
        <f t="shared" si="9"/>
        <v>44</v>
      </c>
    </row>
    <row r="57" spans="1:20" x14ac:dyDescent="0.25">
      <c r="A57" s="2" t="s">
        <v>64</v>
      </c>
      <c r="B57" s="2" t="s">
        <v>64</v>
      </c>
      <c r="C57" s="142">
        <v>694</v>
      </c>
      <c r="D57" s="142">
        <v>188</v>
      </c>
      <c r="E57" s="142">
        <v>667</v>
      </c>
      <c r="F57" s="142">
        <v>362</v>
      </c>
      <c r="G57" s="142">
        <v>0</v>
      </c>
      <c r="H57" s="142">
        <v>0</v>
      </c>
      <c r="I57" s="143">
        <f t="shared" si="0"/>
        <v>1911</v>
      </c>
      <c r="J57" s="24">
        <v>17788</v>
      </c>
      <c r="K57" s="14">
        <v>3713</v>
      </c>
      <c r="L57" s="77">
        <f t="shared" si="1"/>
        <v>3.9015066336856308E-2</v>
      </c>
      <c r="M57" s="28">
        <f t="shared" si="2"/>
        <v>5.0632911392405063E-2</v>
      </c>
      <c r="N57" s="28">
        <f t="shared" si="3"/>
        <v>3.7497189116258149E-2</v>
      </c>
      <c r="O57" s="28">
        <f t="shared" si="4"/>
        <v>9.7495286830056552E-2</v>
      </c>
      <c r="P57" s="28">
        <f t="shared" si="5"/>
        <v>0</v>
      </c>
      <c r="Q57" s="28">
        <f t="shared" si="6"/>
        <v>0</v>
      </c>
      <c r="R57" s="77">
        <f t="shared" si="7"/>
        <v>8.8879586995953677E-2</v>
      </c>
      <c r="S57" s="4">
        <f t="shared" si="8"/>
        <v>34</v>
      </c>
      <c r="T57" s="166">
        <f t="shared" si="9"/>
        <v>48</v>
      </c>
    </row>
    <row r="58" spans="1:20" x14ac:dyDescent="0.25">
      <c r="A58" s="2" t="s">
        <v>64</v>
      </c>
      <c r="B58" s="2" t="s">
        <v>130</v>
      </c>
      <c r="C58" s="142">
        <v>34</v>
      </c>
      <c r="D58" s="142">
        <v>11</v>
      </c>
      <c r="E58" s="142">
        <v>66</v>
      </c>
      <c r="F58" s="142">
        <v>61</v>
      </c>
      <c r="G58" s="142">
        <v>25</v>
      </c>
      <c r="H58" s="142">
        <v>0</v>
      </c>
      <c r="I58" s="143">
        <f t="shared" si="0"/>
        <v>197</v>
      </c>
      <c r="J58" s="24">
        <v>1578</v>
      </c>
      <c r="K58" s="14">
        <v>297</v>
      </c>
      <c r="L58" s="77">
        <f t="shared" si="1"/>
        <v>2.1546261089987327E-2</v>
      </c>
      <c r="M58" s="28">
        <f t="shared" si="2"/>
        <v>3.7037037037037035E-2</v>
      </c>
      <c r="N58" s="28">
        <f t="shared" si="3"/>
        <v>4.1825095057034217E-2</v>
      </c>
      <c r="O58" s="28">
        <f t="shared" si="4"/>
        <v>0.2053872053872054</v>
      </c>
      <c r="P58" s="28">
        <f t="shared" si="5"/>
        <v>1.5842839036755388E-2</v>
      </c>
      <c r="Q58" s="28">
        <f t="shared" si="6"/>
        <v>0</v>
      </c>
      <c r="R58" s="77">
        <f t="shared" si="7"/>
        <v>0.10506666666666667</v>
      </c>
      <c r="S58" s="4">
        <f t="shared" si="8"/>
        <v>77</v>
      </c>
      <c r="T58" s="166">
        <f t="shared" si="9"/>
        <v>43</v>
      </c>
    </row>
    <row r="59" spans="1:20" x14ac:dyDescent="0.25">
      <c r="A59" s="2" t="s">
        <v>64</v>
      </c>
      <c r="B59" s="2" t="s">
        <v>66</v>
      </c>
      <c r="C59" s="142">
        <v>581</v>
      </c>
      <c r="D59" s="142">
        <v>15</v>
      </c>
      <c r="E59" s="142">
        <v>87</v>
      </c>
      <c r="F59" s="142">
        <v>0</v>
      </c>
      <c r="G59" s="142">
        <v>0</v>
      </c>
      <c r="H59" s="142">
        <v>0</v>
      </c>
      <c r="I59" s="143">
        <f t="shared" si="0"/>
        <v>683</v>
      </c>
      <c r="J59" s="24">
        <v>8486</v>
      </c>
      <c r="K59" s="14">
        <v>808</v>
      </c>
      <c r="L59" s="77">
        <f t="shared" si="1"/>
        <v>6.8465708225312283E-2</v>
      </c>
      <c r="M59" s="28">
        <f t="shared" si="2"/>
        <v>1.8564356435643563E-2</v>
      </c>
      <c r="N59" s="28">
        <f t="shared" si="3"/>
        <v>1.0252180061277398E-2</v>
      </c>
      <c r="O59" s="28">
        <f t="shared" si="4"/>
        <v>0</v>
      </c>
      <c r="P59" s="28">
        <f t="shared" si="5"/>
        <v>0</v>
      </c>
      <c r="Q59" s="28">
        <f t="shared" si="6"/>
        <v>0</v>
      </c>
      <c r="R59" s="77">
        <f t="shared" si="7"/>
        <v>7.3488272003443086E-2</v>
      </c>
      <c r="S59" s="4">
        <f t="shared" si="8"/>
        <v>52</v>
      </c>
      <c r="T59" s="166">
        <f t="shared" si="9"/>
        <v>53</v>
      </c>
    </row>
    <row r="60" spans="1:20" s="15" customFormat="1" ht="13.9" customHeight="1" x14ac:dyDescent="0.25">
      <c r="A60" s="15" t="s">
        <v>64</v>
      </c>
      <c r="B60" s="15" t="s">
        <v>67</v>
      </c>
      <c r="C60" s="144">
        <v>62</v>
      </c>
      <c r="D60" s="144">
        <v>7</v>
      </c>
      <c r="E60" s="144">
        <v>63</v>
      </c>
      <c r="F60" s="144">
        <v>33</v>
      </c>
      <c r="G60" s="144">
        <v>0</v>
      </c>
      <c r="H60" s="144">
        <v>0</v>
      </c>
      <c r="I60" s="145">
        <f t="shared" si="0"/>
        <v>165</v>
      </c>
      <c r="J60" s="25">
        <v>507</v>
      </c>
      <c r="K60" s="18">
        <v>244</v>
      </c>
      <c r="L60" s="81">
        <f t="shared" si="1"/>
        <v>0.1222879684418146</v>
      </c>
      <c r="M60" s="80">
        <f t="shared" si="2"/>
        <v>2.8688524590163935E-2</v>
      </c>
      <c r="N60" s="80">
        <f t="shared" si="3"/>
        <v>0.1242603550295858</v>
      </c>
      <c r="O60" s="80">
        <f t="shared" si="4"/>
        <v>0.13524590163934427</v>
      </c>
      <c r="P60" s="80">
        <f t="shared" si="5"/>
        <v>0</v>
      </c>
      <c r="Q60" s="80">
        <f t="shared" si="6"/>
        <v>0</v>
      </c>
      <c r="R60" s="81">
        <f t="shared" si="7"/>
        <v>0.21970705725699069</v>
      </c>
      <c r="S60" s="164">
        <f t="shared" si="8"/>
        <v>80</v>
      </c>
      <c r="T60" s="167">
        <f t="shared" si="9"/>
        <v>27</v>
      </c>
    </row>
    <row r="61" spans="1:20" s="19" customFormat="1" x14ac:dyDescent="0.25">
      <c r="A61" s="19" t="s">
        <v>68</v>
      </c>
      <c r="B61" s="19" t="s">
        <v>68</v>
      </c>
      <c r="C61" s="151" t="s">
        <v>311</v>
      </c>
      <c r="D61" s="151" t="s">
        <v>311</v>
      </c>
      <c r="E61" s="151" t="s">
        <v>311</v>
      </c>
      <c r="F61" s="151" t="s">
        <v>311</v>
      </c>
      <c r="G61" s="151" t="s">
        <v>311</v>
      </c>
      <c r="H61" s="151" t="s">
        <v>311</v>
      </c>
      <c r="I61" s="152" t="s">
        <v>311</v>
      </c>
      <c r="J61" s="26">
        <v>97335</v>
      </c>
      <c r="K61" s="84">
        <v>86151</v>
      </c>
      <c r="L61" s="78" t="s">
        <v>311</v>
      </c>
      <c r="M61" s="30" t="s">
        <v>311</v>
      </c>
      <c r="N61" s="29" t="s">
        <v>311</v>
      </c>
      <c r="O61" s="29" t="s">
        <v>311</v>
      </c>
      <c r="P61" s="29" t="s">
        <v>311</v>
      </c>
      <c r="Q61" s="29" t="s">
        <v>311</v>
      </c>
      <c r="R61" s="78" t="s">
        <v>311</v>
      </c>
      <c r="S61" s="165" t="s">
        <v>311</v>
      </c>
      <c r="T61" s="168" t="s">
        <v>311</v>
      </c>
    </row>
    <row r="62" spans="1:20" s="13" customFormat="1" x14ac:dyDescent="0.25">
      <c r="A62" s="13" t="s">
        <v>69</v>
      </c>
      <c r="B62" s="13" t="s">
        <v>70</v>
      </c>
      <c r="C62" s="150">
        <v>0</v>
      </c>
      <c r="D62" s="150">
        <v>0</v>
      </c>
      <c r="E62" s="150">
        <v>0</v>
      </c>
      <c r="F62" s="150">
        <v>0</v>
      </c>
      <c r="G62" s="150">
        <v>0</v>
      </c>
      <c r="H62" s="150">
        <v>0</v>
      </c>
      <c r="I62" s="143">
        <f t="shared" si="0"/>
        <v>0</v>
      </c>
      <c r="J62" s="24">
        <v>2458</v>
      </c>
      <c r="K62" s="14">
        <v>1</v>
      </c>
      <c r="L62" s="77">
        <f t="shared" si="1"/>
        <v>0</v>
      </c>
      <c r="M62" s="79">
        <f t="shared" ref="M62:M72" si="10">D62/K62</f>
        <v>0</v>
      </c>
      <c r="N62" s="79">
        <f t="shared" si="3"/>
        <v>0</v>
      </c>
      <c r="O62" s="79">
        <f t="shared" si="4"/>
        <v>0</v>
      </c>
      <c r="P62" s="79">
        <f t="shared" si="5"/>
        <v>0</v>
      </c>
      <c r="Q62" s="79">
        <f t="shared" si="6"/>
        <v>0</v>
      </c>
      <c r="R62" s="77">
        <f t="shared" si="7"/>
        <v>0</v>
      </c>
      <c r="S62" s="4">
        <f t="shared" si="8"/>
        <v>105</v>
      </c>
      <c r="T62" s="166">
        <f t="shared" si="9"/>
        <v>105</v>
      </c>
    </row>
    <row r="63" spans="1:20" x14ac:dyDescent="0.25">
      <c r="A63" s="2" t="s">
        <v>69</v>
      </c>
      <c r="B63" s="2" t="s">
        <v>71</v>
      </c>
      <c r="C63" s="142">
        <v>124</v>
      </c>
      <c r="D63" s="142">
        <v>16</v>
      </c>
      <c r="E63" s="142">
        <v>162</v>
      </c>
      <c r="F63" s="142">
        <v>65</v>
      </c>
      <c r="G63" s="142">
        <v>0</v>
      </c>
      <c r="H63" s="142">
        <v>0</v>
      </c>
      <c r="I63" s="143">
        <f t="shared" si="0"/>
        <v>367</v>
      </c>
      <c r="J63" s="24">
        <v>6650</v>
      </c>
      <c r="K63" s="14">
        <v>761</v>
      </c>
      <c r="L63" s="77">
        <f t="shared" si="1"/>
        <v>1.8646616541353384E-2</v>
      </c>
      <c r="M63" s="28">
        <f t="shared" si="10"/>
        <v>2.1024967148488831E-2</v>
      </c>
      <c r="N63" s="28">
        <f t="shared" si="3"/>
        <v>2.4360902255639097E-2</v>
      </c>
      <c r="O63" s="28">
        <f t="shared" si="4"/>
        <v>8.5413929040735873E-2</v>
      </c>
      <c r="P63" s="28">
        <f t="shared" si="5"/>
        <v>0</v>
      </c>
      <c r="Q63" s="28">
        <f t="shared" si="6"/>
        <v>0</v>
      </c>
      <c r="R63" s="77">
        <f t="shared" si="7"/>
        <v>4.9520982323573069E-2</v>
      </c>
      <c r="S63" s="4">
        <f t="shared" si="8"/>
        <v>66</v>
      </c>
      <c r="T63" s="166">
        <f t="shared" si="9"/>
        <v>58</v>
      </c>
    </row>
    <row r="64" spans="1:20" x14ac:dyDescent="0.25">
      <c r="A64" s="2" t="s">
        <v>69</v>
      </c>
      <c r="B64" s="2" t="s">
        <v>72</v>
      </c>
      <c r="C64" s="142">
        <v>0</v>
      </c>
      <c r="D64" s="142">
        <v>0</v>
      </c>
      <c r="E64" s="142">
        <v>1</v>
      </c>
      <c r="F64" s="142">
        <v>0</v>
      </c>
      <c r="G64" s="142">
        <v>0</v>
      </c>
      <c r="H64" s="142">
        <v>0</v>
      </c>
      <c r="I64" s="143">
        <f t="shared" si="0"/>
        <v>1</v>
      </c>
      <c r="J64" s="24">
        <v>1059</v>
      </c>
      <c r="K64" s="14">
        <v>553</v>
      </c>
      <c r="L64" s="77">
        <f t="shared" si="1"/>
        <v>0</v>
      </c>
      <c r="M64" s="28">
        <f t="shared" si="10"/>
        <v>0</v>
      </c>
      <c r="N64" s="28">
        <f t="shared" si="3"/>
        <v>9.4428706326723328E-4</v>
      </c>
      <c r="O64" s="28">
        <f t="shared" si="4"/>
        <v>0</v>
      </c>
      <c r="P64" s="28">
        <f t="shared" si="5"/>
        <v>0</v>
      </c>
      <c r="Q64" s="28">
        <f t="shared" si="6"/>
        <v>0</v>
      </c>
      <c r="R64" s="77">
        <f t="shared" si="7"/>
        <v>6.2034739454094293E-4</v>
      </c>
      <c r="S64" s="4">
        <f t="shared" si="8"/>
        <v>103</v>
      </c>
      <c r="T64" s="166">
        <f t="shared" si="9"/>
        <v>104</v>
      </c>
    </row>
    <row r="65" spans="1:20" x14ac:dyDescent="0.25">
      <c r="A65" s="2" t="s">
        <v>69</v>
      </c>
      <c r="B65" s="2" t="s">
        <v>132</v>
      </c>
      <c r="C65" s="142">
        <v>243</v>
      </c>
      <c r="D65" s="142">
        <v>43</v>
      </c>
      <c r="E65" s="142">
        <v>3472</v>
      </c>
      <c r="F65" s="142">
        <v>1650</v>
      </c>
      <c r="G65" s="142">
        <v>0</v>
      </c>
      <c r="H65" s="142">
        <v>0</v>
      </c>
      <c r="I65" s="143">
        <f t="shared" si="0"/>
        <v>5408</v>
      </c>
      <c r="J65" s="24">
        <v>5904</v>
      </c>
      <c r="K65" s="14">
        <v>1860</v>
      </c>
      <c r="L65" s="77">
        <f t="shared" si="1"/>
        <v>4.1158536585365856E-2</v>
      </c>
      <c r="M65" s="28">
        <f t="shared" si="10"/>
        <v>2.3118279569892472E-2</v>
      </c>
      <c r="N65" s="28">
        <f t="shared" si="3"/>
        <v>0.58807588075880757</v>
      </c>
      <c r="O65" s="28">
        <f t="shared" si="4"/>
        <v>0.88709677419354838</v>
      </c>
      <c r="P65" s="28">
        <f t="shared" si="5"/>
        <v>0</v>
      </c>
      <c r="Q65" s="28">
        <f t="shared" si="6"/>
        <v>0</v>
      </c>
      <c r="R65" s="77">
        <f t="shared" si="7"/>
        <v>0.69654817104585265</v>
      </c>
      <c r="S65" s="4">
        <f t="shared" si="8"/>
        <v>19</v>
      </c>
      <c r="T65" s="166">
        <f t="shared" si="9"/>
        <v>12</v>
      </c>
    </row>
    <row r="66" spans="1:20" x14ac:dyDescent="0.25">
      <c r="A66" s="2" t="s">
        <v>69</v>
      </c>
      <c r="B66" s="2" t="s">
        <v>73</v>
      </c>
      <c r="C66" s="142">
        <v>0</v>
      </c>
      <c r="D66" s="142">
        <v>0</v>
      </c>
      <c r="E66" s="142">
        <v>0</v>
      </c>
      <c r="F66" s="142">
        <v>0</v>
      </c>
      <c r="G66" s="142">
        <v>0</v>
      </c>
      <c r="H66" s="142">
        <v>0</v>
      </c>
      <c r="I66" s="143">
        <f t="shared" si="0"/>
        <v>0</v>
      </c>
      <c r="J66" s="24">
        <v>210</v>
      </c>
      <c r="K66" s="14">
        <v>117</v>
      </c>
      <c r="L66" s="77">
        <f t="shared" si="1"/>
        <v>0</v>
      </c>
      <c r="M66" s="28">
        <f t="shared" si="10"/>
        <v>0</v>
      </c>
      <c r="N66" s="28">
        <f t="shared" si="3"/>
        <v>0</v>
      </c>
      <c r="O66" s="28">
        <f t="shared" si="4"/>
        <v>0</v>
      </c>
      <c r="P66" s="28">
        <f t="shared" si="5"/>
        <v>0</v>
      </c>
      <c r="Q66" s="28">
        <f t="shared" si="6"/>
        <v>0</v>
      </c>
      <c r="R66" s="77">
        <f t="shared" si="7"/>
        <v>0</v>
      </c>
      <c r="S66" s="4">
        <f t="shared" si="8"/>
        <v>105</v>
      </c>
      <c r="T66" s="166">
        <f t="shared" si="9"/>
        <v>105</v>
      </c>
    </row>
    <row r="67" spans="1:20" x14ac:dyDescent="0.25">
      <c r="A67" s="2" t="s">
        <v>69</v>
      </c>
      <c r="B67" s="2" t="s">
        <v>74</v>
      </c>
      <c r="C67" s="142">
        <v>0</v>
      </c>
      <c r="D67" s="142">
        <v>0</v>
      </c>
      <c r="E67" s="142">
        <v>0</v>
      </c>
      <c r="F67" s="142">
        <v>0</v>
      </c>
      <c r="G67" s="142">
        <v>0</v>
      </c>
      <c r="H67" s="142">
        <v>0</v>
      </c>
      <c r="I67" s="143">
        <f t="shared" si="0"/>
        <v>0</v>
      </c>
      <c r="J67" s="24">
        <v>18870</v>
      </c>
      <c r="K67" s="14">
        <v>4214</v>
      </c>
      <c r="L67" s="77">
        <f t="shared" si="1"/>
        <v>0</v>
      </c>
      <c r="M67" s="28">
        <f t="shared" si="10"/>
        <v>0</v>
      </c>
      <c r="N67" s="28">
        <f t="shared" si="3"/>
        <v>0</v>
      </c>
      <c r="O67" s="28">
        <f t="shared" si="4"/>
        <v>0</v>
      </c>
      <c r="P67" s="28">
        <f t="shared" si="5"/>
        <v>0</v>
      </c>
      <c r="Q67" s="28">
        <f t="shared" si="6"/>
        <v>0</v>
      </c>
      <c r="R67" s="77">
        <f t="shared" si="7"/>
        <v>0</v>
      </c>
      <c r="S67" s="4">
        <f t="shared" si="8"/>
        <v>105</v>
      </c>
      <c r="T67" s="166">
        <f t="shared" si="9"/>
        <v>105</v>
      </c>
    </row>
    <row r="68" spans="1:20" x14ac:dyDescent="0.25">
      <c r="A68" s="2" t="s">
        <v>69</v>
      </c>
      <c r="B68" s="2" t="s">
        <v>75</v>
      </c>
      <c r="C68" s="142">
        <v>1554</v>
      </c>
      <c r="D68" s="142">
        <v>119</v>
      </c>
      <c r="E68" s="142">
        <v>461</v>
      </c>
      <c r="F68" s="142">
        <v>12</v>
      </c>
      <c r="G68" s="142">
        <v>0</v>
      </c>
      <c r="H68" s="142">
        <v>0</v>
      </c>
      <c r="I68" s="143">
        <f t="shared" si="0"/>
        <v>2146</v>
      </c>
      <c r="J68" s="24">
        <v>3974</v>
      </c>
      <c r="K68" s="14">
        <v>594</v>
      </c>
      <c r="L68" s="77">
        <f t="shared" si="1"/>
        <v>0.39104177151484648</v>
      </c>
      <c r="M68" s="28">
        <f t="shared" si="10"/>
        <v>0.20033670033670034</v>
      </c>
      <c r="N68" s="28">
        <f t="shared" si="3"/>
        <v>0.11600402617010569</v>
      </c>
      <c r="O68" s="28">
        <f t="shared" si="4"/>
        <v>2.0202020202020204E-2</v>
      </c>
      <c r="P68" s="28">
        <f t="shared" si="5"/>
        <v>0</v>
      </c>
      <c r="Q68" s="28">
        <f t="shared" si="6"/>
        <v>0</v>
      </c>
      <c r="R68" s="77">
        <f t="shared" si="7"/>
        <v>0.46978984238178634</v>
      </c>
      <c r="S68" s="4">
        <f t="shared" si="8"/>
        <v>31</v>
      </c>
      <c r="T68" s="166">
        <f t="shared" si="9"/>
        <v>16</v>
      </c>
    </row>
    <row r="69" spans="1:20" x14ac:dyDescent="0.25">
      <c r="A69" s="2" t="s">
        <v>69</v>
      </c>
      <c r="B69" s="2" t="s">
        <v>76</v>
      </c>
      <c r="C69" s="142">
        <v>1</v>
      </c>
      <c r="D69" s="142">
        <v>20</v>
      </c>
      <c r="E69" s="142">
        <v>0</v>
      </c>
      <c r="F69" s="142">
        <v>0</v>
      </c>
      <c r="G69" s="142">
        <v>6731</v>
      </c>
      <c r="H69" s="142">
        <v>1948</v>
      </c>
      <c r="I69" s="143">
        <f t="shared" si="0"/>
        <v>8700</v>
      </c>
      <c r="J69" s="24">
        <v>6732</v>
      </c>
      <c r="K69" s="14">
        <v>2094</v>
      </c>
      <c r="L69" s="77">
        <f t="shared" si="1"/>
        <v>1.4854426619132502E-4</v>
      </c>
      <c r="M69" s="28">
        <f t="shared" si="10"/>
        <v>9.5510983763132766E-3</v>
      </c>
      <c r="N69" s="28">
        <f t="shared" si="3"/>
        <v>0</v>
      </c>
      <c r="O69" s="28">
        <f t="shared" si="4"/>
        <v>0</v>
      </c>
      <c r="P69" s="28">
        <f t="shared" si="5"/>
        <v>0.99985145573380863</v>
      </c>
      <c r="Q69" s="28">
        <f t="shared" si="6"/>
        <v>0.93027698185291308</v>
      </c>
      <c r="R69" s="77">
        <f t="shared" si="7"/>
        <v>0.98572399728076143</v>
      </c>
      <c r="S69" s="4">
        <f t="shared" si="8"/>
        <v>14</v>
      </c>
      <c r="T69" s="166">
        <f t="shared" si="9"/>
        <v>5</v>
      </c>
    </row>
    <row r="70" spans="1:20" x14ac:dyDescent="0.25">
      <c r="A70" s="2" t="s">
        <v>69</v>
      </c>
      <c r="B70" s="2" t="s">
        <v>133</v>
      </c>
      <c r="C70" s="142">
        <v>4</v>
      </c>
      <c r="D70" s="142">
        <v>0</v>
      </c>
      <c r="E70" s="142">
        <v>0</v>
      </c>
      <c r="F70" s="142">
        <v>0</v>
      </c>
      <c r="G70" s="142">
        <v>0</v>
      </c>
      <c r="H70" s="142">
        <v>0</v>
      </c>
      <c r="I70" s="143">
        <f t="shared" si="0"/>
        <v>4</v>
      </c>
      <c r="J70" s="24">
        <v>3209</v>
      </c>
      <c r="K70" s="14">
        <v>594</v>
      </c>
      <c r="L70" s="77">
        <f t="shared" si="1"/>
        <v>1.2464942349641633E-3</v>
      </c>
      <c r="M70" s="28">
        <f t="shared" si="10"/>
        <v>0</v>
      </c>
      <c r="N70" s="28">
        <f t="shared" si="3"/>
        <v>0</v>
      </c>
      <c r="O70" s="28">
        <f t="shared" si="4"/>
        <v>0</v>
      </c>
      <c r="P70" s="28">
        <f t="shared" si="5"/>
        <v>0</v>
      </c>
      <c r="Q70" s="28">
        <f t="shared" si="6"/>
        <v>0</v>
      </c>
      <c r="R70" s="77">
        <f t="shared" si="7"/>
        <v>1.0518012095713911E-3</v>
      </c>
      <c r="S70" s="4">
        <f t="shared" si="8"/>
        <v>100</v>
      </c>
      <c r="T70" s="166">
        <f t="shared" si="9"/>
        <v>102</v>
      </c>
    </row>
    <row r="71" spans="1:20" x14ac:dyDescent="0.25">
      <c r="A71" s="2" t="s">
        <v>69</v>
      </c>
      <c r="B71" s="2" t="s">
        <v>77</v>
      </c>
      <c r="C71" s="142">
        <v>2</v>
      </c>
      <c r="D71" s="142">
        <v>0</v>
      </c>
      <c r="E71" s="142">
        <v>13</v>
      </c>
      <c r="F71" s="142">
        <v>0</v>
      </c>
      <c r="G71" s="142">
        <v>0</v>
      </c>
      <c r="H71" s="142">
        <v>0</v>
      </c>
      <c r="I71" s="143">
        <f t="shared" si="0"/>
        <v>15</v>
      </c>
      <c r="J71" s="24">
        <v>3955</v>
      </c>
      <c r="K71" s="14">
        <v>4</v>
      </c>
      <c r="L71" s="77">
        <f t="shared" si="1"/>
        <v>5.0568900126422248E-4</v>
      </c>
      <c r="M71" s="28">
        <f t="shared" si="10"/>
        <v>0</v>
      </c>
      <c r="N71" s="28">
        <f t="shared" si="3"/>
        <v>3.2869785082174463E-3</v>
      </c>
      <c r="O71" s="28">
        <f t="shared" si="4"/>
        <v>0</v>
      </c>
      <c r="P71" s="28">
        <f t="shared" si="5"/>
        <v>0</v>
      </c>
      <c r="Q71" s="28">
        <f t="shared" si="6"/>
        <v>0</v>
      </c>
      <c r="R71" s="77">
        <f t="shared" si="7"/>
        <v>3.7888355645364991E-3</v>
      </c>
      <c r="S71" s="4">
        <f t="shared" si="8"/>
        <v>98</v>
      </c>
      <c r="T71" s="166">
        <f t="shared" si="9"/>
        <v>98</v>
      </c>
    </row>
    <row r="72" spans="1:20" x14ac:dyDescent="0.25">
      <c r="A72" s="2" t="s">
        <v>69</v>
      </c>
      <c r="B72" s="2" t="s">
        <v>78</v>
      </c>
      <c r="C72" s="142">
        <v>1132</v>
      </c>
      <c r="D72" s="142">
        <v>48</v>
      </c>
      <c r="E72" s="142">
        <v>569</v>
      </c>
      <c r="F72" s="142">
        <v>57</v>
      </c>
      <c r="G72" s="142">
        <v>0</v>
      </c>
      <c r="H72" s="142">
        <v>0</v>
      </c>
      <c r="I72" s="143">
        <f t="shared" si="0"/>
        <v>1806</v>
      </c>
      <c r="J72" s="24">
        <v>7330</v>
      </c>
      <c r="K72" s="14">
        <v>1909</v>
      </c>
      <c r="L72" s="77">
        <f t="shared" si="1"/>
        <v>0.15443383356070942</v>
      </c>
      <c r="M72" s="28">
        <f t="shared" si="10"/>
        <v>2.5144054478784705E-2</v>
      </c>
      <c r="N72" s="28">
        <f t="shared" si="3"/>
        <v>7.7626193724420187E-2</v>
      </c>
      <c r="O72" s="28">
        <f t="shared" si="4"/>
        <v>2.9858564693556838E-2</v>
      </c>
      <c r="P72" s="28">
        <f t="shared" si="5"/>
        <v>0</v>
      </c>
      <c r="Q72" s="28">
        <f t="shared" si="6"/>
        <v>0</v>
      </c>
      <c r="R72" s="77">
        <f t="shared" si="7"/>
        <v>0.19547570083342353</v>
      </c>
      <c r="S72" s="4">
        <f t="shared" si="8"/>
        <v>36</v>
      </c>
      <c r="T72" s="166">
        <f t="shared" si="9"/>
        <v>30</v>
      </c>
    </row>
    <row r="73" spans="1:20" x14ac:dyDescent="0.25">
      <c r="A73" s="2" t="s">
        <v>69</v>
      </c>
      <c r="B73" s="2" t="s">
        <v>79</v>
      </c>
      <c r="C73" s="142">
        <v>178</v>
      </c>
      <c r="D73" s="142">
        <v>10</v>
      </c>
      <c r="E73" s="142">
        <v>33</v>
      </c>
      <c r="F73" s="142">
        <v>97</v>
      </c>
      <c r="G73" s="142">
        <v>0</v>
      </c>
      <c r="H73" s="142">
        <v>0</v>
      </c>
      <c r="I73" s="143">
        <f t="shared" ref="I73:I116" si="11">SUM(C73:H73)</f>
        <v>318</v>
      </c>
      <c r="J73" s="24">
        <v>5338</v>
      </c>
      <c r="K73" s="14">
        <v>1152</v>
      </c>
      <c r="L73" s="77">
        <f t="shared" ref="L73:L116" si="12">C73/J73</f>
        <v>3.3345822405395277E-2</v>
      </c>
      <c r="M73" s="28">
        <f t="shared" ref="M73:M116" si="13">D73/K73</f>
        <v>8.6805555555555559E-3</v>
      </c>
      <c r="N73" s="28">
        <f t="shared" ref="N73:N116" si="14">E73/J73</f>
        <v>6.1820906706631694E-3</v>
      </c>
      <c r="O73" s="28">
        <f t="shared" ref="O73:O116" si="15">F73/K73</f>
        <v>8.4201388888888895E-2</v>
      </c>
      <c r="P73" s="28">
        <f t="shared" ref="P73:P116" si="16">G73/J73</f>
        <v>0</v>
      </c>
      <c r="Q73" s="28">
        <f t="shared" ref="Q73:Q116" si="17">H73/K73</f>
        <v>0</v>
      </c>
      <c r="R73" s="77">
        <f t="shared" ref="R73:R116" si="18">I73/(J73+K73)</f>
        <v>4.8998459167950696E-2</v>
      </c>
      <c r="S73" s="4">
        <f t="shared" ref="S73:S116" si="19">RANK(I73,$I$8:$I$116,0)</f>
        <v>69</v>
      </c>
      <c r="T73" s="166">
        <f t="shared" ref="T73:T88" si="20">RANK(R73,$R$8:$R$116,0)</f>
        <v>59</v>
      </c>
    </row>
    <row r="74" spans="1:20" x14ac:dyDescent="0.25">
      <c r="A74" s="2" t="s">
        <v>69</v>
      </c>
      <c r="B74" s="2" t="s">
        <v>134</v>
      </c>
      <c r="C74" s="142">
        <v>226</v>
      </c>
      <c r="D74" s="142">
        <v>0</v>
      </c>
      <c r="E74" s="142">
        <v>242</v>
      </c>
      <c r="F74" s="142">
        <v>5</v>
      </c>
      <c r="G74" s="142">
        <v>0</v>
      </c>
      <c r="H74" s="142">
        <v>0</v>
      </c>
      <c r="I74" s="143">
        <f t="shared" si="11"/>
        <v>473</v>
      </c>
      <c r="J74" s="24">
        <v>10889</v>
      </c>
      <c r="K74" s="14">
        <v>950</v>
      </c>
      <c r="L74" s="77">
        <f t="shared" si="12"/>
        <v>2.0754890256221875E-2</v>
      </c>
      <c r="M74" s="28">
        <f t="shared" si="13"/>
        <v>0</v>
      </c>
      <c r="N74" s="28">
        <f t="shared" si="14"/>
        <v>2.2224263017724309E-2</v>
      </c>
      <c r="O74" s="28">
        <f t="shared" si="15"/>
        <v>5.263157894736842E-3</v>
      </c>
      <c r="P74" s="28">
        <f t="shared" si="16"/>
        <v>0</v>
      </c>
      <c r="Q74" s="28">
        <f t="shared" si="17"/>
        <v>0</v>
      </c>
      <c r="R74" s="77">
        <f t="shared" si="18"/>
        <v>3.9952698707661119E-2</v>
      </c>
      <c r="S74" s="4">
        <f t="shared" si="19"/>
        <v>58</v>
      </c>
      <c r="T74" s="166">
        <f t="shared" si="20"/>
        <v>64</v>
      </c>
    </row>
    <row r="75" spans="1:20" x14ac:dyDescent="0.25">
      <c r="A75" s="2" t="s">
        <v>69</v>
      </c>
      <c r="B75" s="2" t="s">
        <v>80</v>
      </c>
      <c r="C75" s="142">
        <v>18</v>
      </c>
      <c r="D75" s="142">
        <v>0</v>
      </c>
      <c r="E75" s="142">
        <v>4</v>
      </c>
      <c r="F75" s="142">
        <v>0</v>
      </c>
      <c r="G75" s="142">
        <v>0</v>
      </c>
      <c r="H75" s="142">
        <v>0</v>
      </c>
      <c r="I75" s="143">
        <f t="shared" si="11"/>
        <v>22</v>
      </c>
      <c r="J75" s="24">
        <v>1515</v>
      </c>
      <c r="K75" s="14">
        <v>3</v>
      </c>
      <c r="L75" s="77">
        <f t="shared" si="12"/>
        <v>1.1881188118811881E-2</v>
      </c>
      <c r="M75" s="28">
        <f t="shared" si="13"/>
        <v>0</v>
      </c>
      <c r="N75" s="28">
        <f t="shared" si="14"/>
        <v>2.6402640264026403E-3</v>
      </c>
      <c r="O75" s="28">
        <f t="shared" si="15"/>
        <v>0</v>
      </c>
      <c r="P75" s="28">
        <f t="shared" si="16"/>
        <v>0</v>
      </c>
      <c r="Q75" s="28">
        <f t="shared" si="17"/>
        <v>0</v>
      </c>
      <c r="R75" s="77">
        <f t="shared" si="18"/>
        <v>1.4492753623188406E-2</v>
      </c>
      <c r="S75" s="4">
        <f t="shared" si="19"/>
        <v>97</v>
      </c>
      <c r="T75" s="166">
        <f t="shared" si="20"/>
        <v>88</v>
      </c>
    </row>
    <row r="76" spans="1:20" x14ac:dyDescent="0.25">
      <c r="A76" s="2" t="s">
        <v>69</v>
      </c>
      <c r="B76" s="2" t="s">
        <v>81</v>
      </c>
      <c r="C76" s="142">
        <v>485</v>
      </c>
      <c r="D76" s="142">
        <v>162</v>
      </c>
      <c r="E76" s="142">
        <v>1914</v>
      </c>
      <c r="F76" s="142">
        <v>1359</v>
      </c>
      <c r="G76" s="142">
        <v>2242</v>
      </c>
      <c r="H76" s="142">
        <v>1989</v>
      </c>
      <c r="I76" s="143">
        <f t="shared" si="11"/>
        <v>8151</v>
      </c>
      <c r="J76" s="24">
        <v>13393</v>
      </c>
      <c r="K76" s="14">
        <v>5643</v>
      </c>
      <c r="L76" s="77">
        <f t="shared" si="12"/>
        <v>3.621294706189801E-2</v>
      </c>
      <c r="M76" s="28">
        <f t="shared" si="13"/>
        <v>2.8708133971291867E-2</v>
      </c>
      <c r="N76" s="28">
        <f t="shared" si="14"/>
        <v>0.14291047562159337</v>
      </c>
      <c r="O76" s="28">
        <f t="shared" si="15"/>
        <v>0.24082934609250398</v>
      </c>
      <c r="P76" s="28">
        <f t="shared" si="16"/>
        <v>0.16740088105726872</v>
      </c>
      <c r="Q76" s="28">
        <f t="shared" si="17"/>
        <v>0.3524720893141946</v>
      </c>
      <c r="R76" s="77">
        <f t="shared" si="18"/>
        <v>0.42818869510401347</v>
      </c>
      <c r="S76" s="4">
        <f t="shared" si="19"/>
        <v>17</v>
      </c>
      <c r="T76" s="166">
        <f t="shared" si="20"/>
        <v>17</v>
      </c>
    </row>
    <row r="77" spans="1:20" x14ac:dyDescent="0.25">
      <c r="A77" s="2" t="s">
        <v>69</v>
      </c>
      <c r="B77" s="2" t="s">
        <v>82</v>
      </c>
      <c r="C77" s="142">
        <v>269</v>
      </c>
      <c r="D77" s="142">
        <v>45</v>
      </c>
      <c r="E77" s="142">
        <v>102</v>
      </c>
      <c r="F77" s="142">
        <v>13</v>
      </c>
      <c r="G77" s="142">
        <v>0</v>
      </c>
      <c r="H77" s="142">
        <v>0</v>
      </c>
      <c r="I77" s="143">
        <f t="shared" si="11"/>
        <v>429</v>
      </c>
      <c r="J77" s="24">
        <v>8979</v>
      </c>
      <c r="K77" s="14">
        <v>3062</v>
      </c>
      <c r="L77" s="77">
        <f t="shared" si="12"/>
        <v>2.9958792738612319E-2</v>
      </c>
      <c r="M77" s="28">
        <f t="shared" si="13"/>
        <v>1.4696276943174396E-2</v>
      </c>
      <c r="N77" s="28">
        <f t="shared" si="14"/>
        <v>1.1359839625793518E-2</v>
      </c>
      <c r="O77" s="28">
        <f t="shared" si="15"/>
        <v>4.245591116917048E-3</v>
      </c>
      <c r="P77" s="28">
        <f t="shared" si="16"/>
        <v>0</v>
      </c>
      <c r="Q77" s="28">
        <f t="shared" si="17"/>
        <v>0</v>
      </c>
      <c r="R77" s="77">
        <f t="shared" si="18"/>
        <v>3.562827007723611E-2</v>
      </c>
      <c r="S77" s="4">
        <f t="shared" si="19"/>
        <v>59</v>
      </c>
      <c r="T77" s="166">
        <f t="shared" si="20"/>
        <v>67</v>
      </c>
    </row>
    <row r="78" spans="1:20" x14ac:dyDescent="0.25">
      <c r="A78" s="2" t="s">
        <v>69</v>
      </c>
      <c r="B78" s="2" t="s">
        <v>83</v>
      </c>
      <c r="C78" s="142">
        <v>85</v>
      </c>
      <c r="D78" s="142">
        <v>7</v>
      </c>
      <c r="E78" s="142">
        <v>121</v>
      </c>
      <c r="F78" s="142">
        <v>151</v>
      </c>
      <c r="G78" s="142">
        <v>0</v>
      </c>
      <c r="H78" s="142">
        <v>0</v>
      </c>
      <c r="I78" s="143">
        <f t="shared" si="11"/>
        <v>364</v>
      </c>
      <c r="J78" s="24">
        <v>8271</v>
      </c>
      <c r="K78" s="14">
        <v>1785</v>
      </c>
      <c r="L78" s="77">
        <f t="shared" si="12"/>
        <v>1.0276870995042922E-2</v>
      </c>
      <c r="M78" s="28">
        <f t="shared" si="13"/>
        <v>3.9215686274509803E-3</v>
      </c>
      <c r="N78" s="28">
        <f t="shared" si="14"/>
        <v>1.4629428122355218E-2</v>
      </c>
      <c r="O78" s="28">
        <f t="shared" si="15"/>
        <v>8.459383753501401E-2</v>
      </c>
      <c r="P78" s="28">
        <f t="shared" si="16"/>
        <v>0</v>
      </c>
      <c r="Q78" s="28">
        <f t="shared" si="17"/>
        <v>0</v>
      </c>
      <c r="R78" s="77">
        <f t="shared" si="18"/>
        <v>3.6197295147175818E-2</v>
      </c>
      <c r="S78" s="4">
        <f t="shared" si="19"/>
        <v>67</v>
      </c>
      <c r="T78" s="166">
        <f t="shared" si="20"/>
        <v>66</v>
      </c>
    </row>
    <row r="79" spans="1:20" x14ac:dyDescent="0.25">
      <c r="A79" s="2" t="s">
        <v>69</v>
      </c>
      <c r="B79" s="2" t="s">
        <v>69</v>
      </c>
      <c r="C79" s="142">
        <v>1351</v>
      </c>
      <c r="D79" s="142">
        <v>286</v>
      </c>
      <c r="E79" s="142">
        <v>322</v>
      </c>
      <c r="F79" s="142">
        <v>952</v>
      </c>
      <c r="G79" s="142">
        <v>5963</v>
      </c>
      <c r="H79" s="142">
        <v>2239</v>
      </c>
      <c r="I79" s="143">
        <f t="shared" si="11"/>
        <v>11113</v>
      </c>
      <c r="J79" s="24">
        <v>17875</v>
      </c>
      <c r="K79" s="14">
        <v>9301</v>
      </c>
      <c r="L79" s="77">
        <f t="shared" si="12"/>
        <v>7.5580419580419583E-2</v>
      </c>
      <c r="M79" s="28">
        <f t="shared" si="13"/>
        <v>3.0749381786904634E-2</v>
      </c>
      <c r="N79" s="28">
        <f t="shared" si="14"/>
        <v>1.8013986013986013E-2</v>
      </c>
      <c r="O79" s="28">
        <f t="shared" si="15"/>
        <v>0.10235458552843781</v>
      </c>
      <c r="P79" s="28">
        <f t="shared" si="16"/>
        <v>0.33359440559440562</v>
      </c>
      <c r="Q79" s="28">
        <f t="shared" si="17"/>
        <v>0.24072680356950865</v>
      </c>
      <c r="R79" s="77">
        <f t="shared" si="18"/>
        <v>0.40892699440682956</v>
      </c>
      <c r="S79" s="4">
        <f t="shared" si="19"/>
        <v>6</v>
      </c>
      <c r="T79" s="166">
        <f t="shared" si="20"/>
        <v>18</v>
      </c>
    </row>
    <row r="80" spans="1:20" x14ac:dyDescent="0.25">
      <c r="A80" s="2" t="s">
        <v>69</v>
      </c>
      <c r="B80" s="2" t="s">
        <v>84</v>
      </c>
      <c r="C80" s="142">
        <v>133</v>
      </c>
      <c r="D80" s="142">
        <v>118</v>
      </c>
      <c r="E80" s="142">
        <v>1</v>
      </c>
      <c r="F80" s="142">
        <v>0</v>
      </c>
      <c r="G80" s="142">
        <v>0</v>
      </c>
      <c r="H80" s="142">
        <v>0</v>
      </c>
      <c r="I80" s="143">
        <f t="shared" si="11"/>
        <v>252</v>
      </c>
      <c r="J80" s="24">
        <v>13018</v>
      </c>
      <c r="K80" s="14">
        <v>3295</v>
      </c>
      <c r="L80" s="77">
        <f t="shared" si="12"/>
        <v>1.0216623137194654E-2</v>
      </c>
      <c r="M80" s="28">
        <f t="shared" si="13"/>
        <v>3.5811836115326255E-2</v>
      </c>
      <c r="N80" s="28">
        <f t="shared" si="14"/>
        <v>7.681671531725304E-5</v>
      </c>
      <c r="O80" s="28">
        <f t="shared" si="15"/>
        <v>0</v>
      </c>
      <c r="P80" s="28">
        <f t="shared" si="16"/>
        <v>0</v>
      </c>
      <c r="Q80" s="28">
        <f t="shared" si="17"/>
        <v>0</v>
      </c>
      <c r="R80" s="77">
        <f t="shared" si="18"/>
        <v>1.5447802366210997E-2</v>
      </c>
      <c r="S80" s="4">
        <f t="shared" si="19"/>
        <v>73</v>
      </c>
      <c r="T80" s="166">
        <f t="shared" si="20"/>
        <v>86</v>
      </c>
    </row>
    <row r="81" spans="1:20" x14ac:dyDescent="0.25">
      <c r="A81" s="2" t="s">
        <v>69</v>
      </c>
      <c r="B81" s="2" t="s">
        <v>85</v>
      </c>
      <c r="C81" s="142">
        <v>244</v>
      </c>
      <c r="D81" s="142">
        <v>10</v>
      </c>
      <c r="E81" s="142">
        <v>36</v>
      </c>
      <c r="F81" s="142">
        <v>2</v>
      </c>
      <c r="G81" s="142">
        <v>0</v>
      </c>
      <c r="H81" s="142">
        <v>0</v>
      </c>
      <c r="I81" s="143">
        <f t="shared" si="11"/>
        <v>292</v>
      </c>
      <c r="J81" s="24">
        <v>16155</v>
      </c>
      <c r="K81" s="14">
        <v>1067</v>
      </c>
      <c r="L81" s="77">
        <f t="shared" si="12"/>
        <v>1.5103683070256887E-2</v>
      </c>
      <c r="M81" s="28">
        <f t="shared" si="13"/>
        <v>9.3720712277413302E-3</v>
      </c>
      <c r="N81" s="28">
        <f t="shared" si="14"/>
        <v>2.2284122562674096E-3</v>
      </c>
      <c r="O81" s="28">
        <f t="shared" si="15"/>
        <v>1.8744142455482662E-3</v>
      </c>
      <c r="P81" s="28">
        <f t="shared" si="16"/>
        <v>0</v>
      </c>
      <c r="Q81" s="28">
        <f t="shared" si="17"/>
        <v>0</v>
      </c>
      <c r="R81" s="77">
        <f t="shared" si="18"/>
        <v>1.6955057484612703E-2</v>
      </c>
      <c r="S81" s="4">
        <f t="shared" si="19"/>
        <v>71</v>
      </c>
      <c r="T81" s="166">
        <f t="shared" si="20"/>
        <v>85</v>
      </c>
    </row>
    <row r="82" spans="1:20" s="15" customFormat="1" x14ac:dyDescent="0.25">
      <c r="A82" s="15" t="s">
        <v>69</v>
      </c>
      <c r="B82" s="15" t="s">
        <v>86</v>
      </c>
      <c r="C82" s="144">
        <v>2</v>
      </c>
      <c r="D82" s="144">
        <v>0</v>
      </c>
      <c r="E82" s="144">
        <v>2</v>
      </c>
      <c r="F82" s="144">
        <v>0</v>
      </c>
      <c r="G82" s="144">
        <v>0</v>
      </c>
      <c r="H82" s="144">
        <v>0</v>
      </c>
      <c r="I82" s="145">
        <f t="shared" si="11"/>
        <v>4</v>
      </c>
      <c r="J82" s="25">
        <v>1962</v>
      </c>
      <c r="K82" s="18">
        <v>7</v>
      </c>
      <c r="L82" s="81">
        <f t="shared" si="12"/>
        <v>1.0193679918450561E-3</v>
      </c>
      <c r="M82" s="80">
        <f t="shared" si="13"/>
        <v>0</v>
      </c>
      <c r="N82" s="80">
        <f t="shared" si="14"/>
        <v>1.0193679918450561E-3</v>
      </c>
      <c r="O82" s="80">
        <f t="shared" si="15"/>
        <v>0</v>
      </c>
      <c r="P82" s="80">
        <f t="shared" si="16"/>
        <v>0</v>
      </c>
      <c r="Q82" s="80">
        <f t="shared" si="17"/>
        <v>0</v>
      </c>
      <c r="R82" s="81">
        <f t="shared" si="18"/>
        <v>2.0314880650076179E-3</v>
      </c>
      <c r="S82" s="164">
        <f t="shared" si="19"/>
        <v>100</v>
      </c>
      <c r="T82" s="167">
        <f t="shared" si="20"/>
        <v>100</v>
      </c>
    </row>
    <row r="83" spans="1:20" s="13" customFormat="1" x14ac:dyDescent="0.25">
      <c r="A83" s="13" t="s">
        <v>87</v>
      </c>
      <c r="B83" s="13" t="s">
        <v>88</v>
      </c>
      <c r="C83" s="150">
        <v>23</v>
      </c>
      <c r="D83" s="150">
        <v>0</v>
      </c>
      <c r="E83" s="150">
        <v>6</v>
      </c>
      <c r="F83" s="150">
        <v>0</v>
      </c>
      <c r="G83" s="150">
        <v>0</v>
      </c>
      <c r="H83" s="150">
        <v>0</v>
      </c>
      <c r="I83" s="143">
        <f t="shared" si="11"/>
        <v>29</v>
      </c>
      <c r="J83" s="24">
        <v>7742</v>
      </c>
      <c r="K83" s="14">
        <v>3118</v>
      </c>
      <c r="L83" s="77">
        <f t="shared" si="12"/>
        <v>2.9708085765951949E-3</v>
      </c>
      <c r="M83" s="83">
        <f t="shared" si="13"/>
        <v>0</v>
      </c>
      <c r="N83" s="79">
        <f t="shared" si="14"/>
        <v>7.7499354172048571E-4</v>
      </c>
      <c r="O83" s="79">
        <f t="shared" si="15"/>
        <v>0</v>
      </c>
      <c r="P83" s="79">
        <f t="shared" si="16"/>
        <v>0</v>
      </c>
      <c r="Q83" s="79">
        <f t="shared" si="17"/>
        <v>0</v>
      </c>
      <c r="R83" s="77">
        <f t="shared" si="18"/>
        <v>2.6703499079189686E-3</v>
      </c>
      <c r="S83" s="4">
        <f t="shared" si="19"/>
        <v>96</v>
      </c>
      <c r="T83" s="166">
        <f t="shared" si="20"/>
        <v>99</v>
      </c>
    </row>
    <row r="84" spans="1:20" x14ac:dyDescent="0.25">
      <c r="A84" s="2" t="s">
        <v>87</v>
      </c>
      <c r="B84" s="2" t="s">
        <v>89</v>
      </c>
      <c r="C84" s="142">
        <v>101</v>
      </c>
      <c r="D84" s="142">
        <v>1</v>
      </c>
      <c r="E84" s="142">
        <v>5928</v>
      </c>
      <c r="F84" s="142">
        <v>2633</v>
      </c>
      <c r="G84" s="142">
        <v>0</v>
      </c>
      <c r="H84" s="142">
        <v>0</v>
      </c>
      <c r="I84" s="143">
        <f t="shared" si="11"/>
        <v>8663</v>
      </c>
      <c r="J84" s="24">
        <v>12035</v>
      </c>
      <c r="K84" s="14">
        <v>3162</v>
      </c>
      <c r="L84" s="77">
        <f t="shared" si="12"/>
        <v>8.3921894474449522E-3</v>
      </c>
      <c r="M84" s="27">
        <f t="shared" si="13"/>
        <v>3.1625553447185326E-4</v>
      </c>
      <c r="N84" s="28">
        <f t="shared" si="14"/>
        <v>0.49256335687577896</v>
      </c>
      <c r="O84" s="28">
        <f t="shared" si="15"/>
        <v>0.83270082226438957</v>
      </c>
      <c r="P84" s="28">
        <f t="shared" si="16"/>
        <v>0</v>
      </c>
      <c r="Q84" s="28">
        <f t="shared" si="17"/>
        <v>0</v>
      </c>
      <c r="R84" s="77">
        <f t="shared" si="18"/>
        <v>0.57004671974731858</v>
      </c>
      <c r="S84" s="4">
        <f t="shared" si="19"/>
        <v>15</v>
      </c>
      <c r="T84" s="166">
        <f t="shared" si="20"/>
        <v>14</v>
      </c>
    </row>
    <row r="85" spans="1:20" x14ac:dyDescent="0.25">
      <c r="A85" s="2" t="s">
        <v>87</v>
      </c>
      <c r="B85" s="2" t="s">
        <v>90</v>
      </c>
      <c r="C85" s="142">
        <v>156</v>
      </c>
      <c r="D85" s="142">
        <v>18</v>
      </c>
      <c r="E85" s="142">
        <v>8214</v>
      </c>
      <c r="F85" s="142">
        <v>895</v>
      </c>
      <c r="G85" s="142">
        <v>1235</v>
      </c>
      <c r="H85" s="142">
        <v>226</v>
      </c>
      <c r="I85" s="143">
        <f t="shared" si="11"/>
        <v>10744</v>
      </c>
      <c r="J85" s="24">
        <v>12000</v>
      </c>
      <c r="K85" s="14">
        <v>1148</v>
      </c>
      <c r="L85" s="77">
        <f t="shared" si="12"/>
        <v>1.2999999999999999E-2</v>
      </c>
      <c r="M85" s="27">
        <f t="shared" si="13"/>
        <v>1.5679442508710801E-2</v>
      </c>
      <c r="N85" s="28">
        <f t="shared" si="14"/>
        <v>0.6845</v>
      </c>
      <c r="O85" s="28">
        <f t="shared" si="15"/>
        <v>0.77961672473867594</v>
      </c>
      <c r="P85" s="28">
        <f t="shared" si="16"/>
        <v>0.10291666666666667</v>
      </c>
      <c r="Q85" s="28">
        <f t="shared" si="17"/>
        <v>0.19686411149825783</v>
      </c>
      <c r="R85" s="77">
        <f t="shared" si="18"/>
        <v>0.8171585031944022</v>
      </c>
      <c r="S85" s="4">
        <f t="shared" si="19"/>
        <v>8</v>
      </c>
      <c r="T85" s="166">
        <f t="shared" si="20"/>
        <v>11</v>
      </c>
    </row>
    <row r="86" spans="1:20" x14ac:dyDescent="0.25">
      <c r="A86" s="2" t="s">
        <v>87</v>
      </c>
      <c r="B86" s="2" t="s">
        <v>91</v>
      </c>
      <c r="C86" s="142">
        <v>91</v>
      </c>
      <c r="D86" s="142">
        <v>1</v>
      </c>
      <c r="E86" s="142">
        <v>8634</v>
      </c>
      <c r="F86" s="142">
        <v>800</v>
      </c>
      <c r="G86" s="142">
        <v>11</v>
      </c>
      <c r="H86" s="142">
        <v>0</v>
      </c>
      <c r="I86" s="143">
        <f t="shared" si="11"/>
        <v>9537</v>
      </c>
      <c r="J86" s="24">
        <v>9379</v>
      </c>
      <c r="K86" s="14">
        <v>801</v>
      </c>
      <c r="L86" s="77">
        <f t="shared" si="12"/>
        <v>9.7025269218466784E-3</v>
      </c>
      <c r="M86" s="27">
        <f t="shared" si="13"/>
        <v>1.2484394506866417E-3</v>
      </c>
      <c r="N86" s="28">
        <f t="shared" si="14"/>
        <v>0.92056722465081564</v>
      </c>
      <c r="O86" s="28">
        <f t="shared" si="15"/>
        <v>0.99875156054931336</v>
      </c>
      <c r="P86" s="28">
        <f t="shared" si="16"/>
        <v>1.1728329246188294E-3</v>
      </c>
      <c r="Q86" s="28">
        <f t="shared" si="17"/>
        <v>0</v>
      </c>
      <c r="R86" s="77">
        <f t="shared" si="18"/>
        <v>0.93683693516699407</v>
      </c>
      <c r="S86" s="4">
        <f t="shared" si="19"/>
        <v>12</v>
      </c>
      <c r="T86" s="166">
        <f t="shared" si="20"/>
        <v>7</v>
      </c>
    </row>
    <row r="87" spans="1:20" x14ac:dyDescent="0.25">
      <c r="A87" s="2" t="s">
        <v>87</v>
      </c>
      <c r="B87" s="2" t="s">
        <v>92</v>
      </c>
      <c r="C87" s="142">
        <v>53</v>
      </c>
      <c r="D87" s="142">
        <v>0</v>
      </c>
      <c r="E87" s="142">
        <v>2800</v>
      </c>
      <c r="F87" s="142">
        <v>3</v>
      </c>
      <c r="G87" s="142">
        <v>0</v>
      </c>
      <c r="H87" s="142">
        <v>0</v>
      </c>
      <c r="I87" s="143">
        <f t="shared" si="11"/>
        <v>2856</v>
      </c>
      <c r="J87" s="24">
        <v>3089</v>
      </c>
      <c r="K87" s="14">
        <v>3</v>
      </c>
      <c r="L87" s="77">
        <f t="shared" si="12"/>
        <v>1.7157656199417289E-2</v>
      </c>
      <c r="M87" s="27">
        <f t="shared" si="13"/>
        <v>0</v>
      </c>
      <c r="N87" s="28">
        <f t="shared" si="14"/>
        <v>0.90644221430883776</v>
      </c>
      <c r="O87" s="28">
        <f t="shared" si="15"/>
        <v>1</v>
      </c>
      <c r="P87" s="28">
        <f t="shared" si="16"/>
        <v>0</v>
      </c>
      <c r="Q87" s="28">
        <f t="shared" si="17"/>
        <v>0</v>
      </c>
      <c r="R87" s="77">
        <f t="shared" si="18"/>
        <v>0.92367399741267786</v>
      </c>
      <c r="S87" s="4">
        <f t="shared" si="19"/>
        <v>29</v>
      </c>
      <c r="T87" s="166">
        <f t="shared" si="20"/>
        <v>8</v>
      </c>
    </row>
    <row r="88" spans="1:20" x14ac:dyDescent="0.25">
      <c r="A88" s="2" t="s">
        <v>87</v>
      </c>
      <c r="B88" s="2" t="s">
        <v>93</v>
      </c>
      <c r="C88" s="142">
        <v>26</v>
      </c>
      <c r="D88" s="142">
        <v>0</v>
      </c>
      <c r="E88" s="142">
        <v>6447</v>
      </c>
      <c r="F88" s="142">
        <v>2264</v>
      </c>
      <c r="G88" s="142">
        <v>0</v>
      </c>
      <c r="H88" s="142">
        <v>0</v>
      </c>
      <c r="I88" s="143">
        <f t="shared" si="11"/>
        <v>8737</v>
      </c>
      <c r="J88" s="24">
        <v>7497</v>
      </c>
      <c r="K88" s="14">
        <v>2285</v>
      </c>
      <c r="L88" s="77">
        <f t="shared" si="12"/>
        <v>3.4680538882219556E-3</v>
      </c>
      <c r="M88" s="27">
        <f t="shared" si="13"/>
        <v>0</v>
      </c>
      <c r="N88" s="28">
        <f t="shared" si="14"/>
        <v>0.85994397759103647</v>
      </c>
      <c r="O88" s="28">
        <f t="shared" si="15"/>
        <v>0.99080962800875272</v>
      </c>
      <c r="P88" s="28">
        <f t="shared" si="16"/>
        <v>0</v>
      </c>
      <c r="Q88" s="28">
        <f t="shared" si="17"/>
        <v>0</v>
      </c>
      <c r="R88" s="77">
        <f t="shared" si="18"/>
        <v>0.89317113064812925</v>
      </c>
      <c r="S88" s="4">
        <f t="shared" si="19"/>
        <v>13</v>
      </c>
      <c r="T88" s="166">
        <f t="shared" si="20"/>
        <v>10</v>
      </c>
    </row>
    <row r="89" spans="1:20" x14ac:dyDescent="0.25">
      <c r="A89" s="2" t="s">
        <v>87</v>
      </c>
      <c r="B89" s="2" t="s">
        <v>94</v>
      </c>
      <c r="C89" s="142">
        <v>2297</v>
      </c>
      <c r="D89" s="142">
        <v>1878</v>
      </c>
      <c r="E89" s="142">
        <v>4717</v>
      </c>
      <c r="F89" s="142">
        <v>1509</v>
      </c>
      <c r="G89" s="142">
        <v>46</v>
      </c>
      <c r="H89" s="142">
        <v>206</v>
      </c>
      <c r="I89" s="143">
        <f t="shared" si="11"/>
        <v>10653</v>
      </c>
      <c r="J89" s="24">
        <v>12817</v>
      </c>
      <c r="K89" s="14">
        <v>4508</v>
      </c>
      <c r="L89" s="77">
        <f t="shared" si="12"/>
        <v>0.17921510493875323</v>
      </c>
      <c r="M89" s="27">
        <f t="shared" si="13"/>
        <v>0.41659272404614017</v>
      </c>
      <c r="N89" s="28">
        <f t="shared" si="14"/>
        <v>0.368026839353983</v>
      </c>
      <c r="O89" s="28">
        <f t="shared" si="15"/>
        <v>0.33473824312333628</v>
      </c>
      <c r="P89" s="28">
        <f t="shared" si="16"/>
        <v>3.5889833814465163E-3</v>
      </c>
      <c r="Q89" s="28">
        <f t="shared" si="17"/>
        <v>4.5696539485359358E-2</v>
      </c>
      <c r="R89" s="77">
        <f t="shared" si="18"/>
        <v>0.61489177489177493</v>
      </c>
      <c r="S89" s="4">
        <f t="shared" si="19"/>
        <v>10</v>
      </c>
      <c r="T89" s="166">
        <f>RANK(R89,$R$8:$R$116,0)</f>
        <v>13</v>
      </c>
    </row>
    <row r="90" spans="1:20" x14ac:dyDescent="0.25">
      <c r="A90" s="2" t="s">
        <v>87</v>
      </c>
      <c r="B90" s="2" t="s">
        <v>95</v>
      </c>
      <c r="C90" s="142">
        <v>1</v>
      </c>
      <c r="D90" s="142">
        <v>0</v>
      </c>
      <c r="E90" s="142">
        <v>7</v>
      </c>
      <c r="F90" s="142">
        <v>0</v>
      </c>
      <c r="G90" s="142">
        <v>0</v>
      </c>
      <c r="H90" s="142">
        <v>0</v>
      </c>
      <c r="I90" s="143">
        <f t="shared" si="11"/>
        <v>8</v>
      </c>
      <c r="J90" s="24">
        <v>1232</v>
      </c>
      <c r="K90" s="14">
        <v>0</v>
      </c>
      <c r="L90" s="77">
        <f t="shared" si="12"/>
        <v>8.1168831168831174E-4</v>
      </c>
      <c r="M90" s="27" t="e">
        <f t="shared" si="13"/>
        <v>#DIV/0!</v>
      </c>
      <c r="N90" s="28">
        <f t="shared" si="14"/>
        <v>5.681818181818182E-3</v>
      </c>
      <c r="O90" s="28" t="e">
        <f t="shared" si="15"/>
        <v>#DIV/0!</v>
      </c>
      <c r="P90" s="28">
        <f t="shared" si="16"/>
        <v>0</v>
      </c>
      <c r="Q90" s="28" t="e">
        <f t="shared" si="17"/>
        <v>#DIV/0!</v>
      </c>
      <c r="R90" s="77">
        <f t="shared" si="18"/>
        <v>6.4935064935064939E-3</v>
      </c>
      <c r="S90" s="4">
        <f t="shared" si="19"/>
        <v>99</v>
      </c>
      <c r="T90" s="166">
        <f t="shared" ref="T90:T116" si="21">RANK(R90,$R$8:$R$116,0)</f>
        <v>96</v>
      </c>
    </row>
    <row r="91" spans="1:20" x14ac:dyDescent="0.25">
      <c r="A91" s="2" t="s">
        <v>87</v>
      </c>
      <c r="B91" s="2" t="s">
        <v>96</v>
      </c>
      <c r="C91" s="142">
        <v>444</v>
      </c>
      <c r="D91" s="142">
        <v>210</v>
      </c>
      <c r="E91" s="142">
        <v>8516</v>
      </c>
      <c r="F91" s="142">
        <v>1550</v>
      </c>
      <c r="G91" s="142">
        <v>0</v>
      </c>
      <c r="H91" s="142">
        <v>0</v>
      </c>
      <c r="I91" s="143">
        <f t="shared" si="11"/>
        <v>10720</v>
      </c>
      <c r="J91" s="24">
        <v>9967</v>
      </c>
      <c r="K91" s="14">
        <v>1777</v>
      </c>
      <c r="L91" s="77">
        <f t="shared" si="12"/>
        <v>4.4547005116885724E-2</v>
      </c>
      <c r="M91" s="27">
        <f t="shared" si="13"/>
        <v>0.11817670230725942</v>
      </c>
      <c r="N91" s="28">
        <f t="shared" si="14"/>
        <v>0.85441958462927659</v>
      </c>
      <c r="O91" s="28">
        <f t="shared" si="15"/>
        <v>0.87225661226786722</v>
      </c>
      <c r="P91" s="28">
        <f t="shared" si="16"/>
        <v>0</v>
      </c>
      <c r="Q91" s="28">
        <f t="shared" si="17"/>
        <v>0</v>
      </c>
      <c r="R91" s="77">
        <f t="shared" si="18"/>
        <v>0.91280653950953683</v>
      </c>
      <c r="S91" s="4">
        <f t="shared" si="19"/>
        <v>9</v>
      </c>
      <c r="T91" s="166">
        <f t="shared" si="21"/>
        <v>9</v>
      </c>
    </row>
    <row r="92" spans="1:20" x14ac:dyDescent="0.25">
      <c r="A92" s="2" t="s">
        <v>87</v>
      </c>
      <c r="B92" s="2" t="s">
        <v>97</v>
      </c>
      <c r="C92" s="142">
        <v>239</v>
      </c>
      <c r="D92" s="142">
        <v>289</v>
      </c>
      <c r="E92" s="142">
        <v>640</v>
      </c>
      <c r="F92" s="142">
        <v>159</v>
      </c>
      <c r="G92" s="142">
        <v>8581</v>
      </c>
      <c r="H92" s="142">
        <v>6390</v>
      </c>
      <c r="I92" s="143">
        <f t="shared" si="11"/>
        <v>16298</v>
      </c>
      <c r="J92" s="24">
        <v>9463</v>
      </c>
      <c r="K92" s="14">
        <v>6838</v>
      </c>
      <c r="L92" s="77">
        <f t="shared" si="12"/>
        <v>2.5256261227940398E-2</v>
      </c>
      <c r="M92" s="27">
        <f t="shared" si="13"/>
        <v>4.2263819830359754E-2</v>
      </c>
      <c r="N92" s="28">
        <f t="shared" si="14"/>
        <v>6.7631829229631193E-2</v>
      </c>
      <c r="O92" s="28">
        <f t="shared" si="15"/>
        <v>2.3252412986253291E-2</v>
      </c>
      <c r="P92" s="28">
        <f t="shared" si="16"/>
        <v>0.90679488534291453</v>
      </c>
      <c r="Q92" s="28">
        <f t="shared" si="17"/>
        <v>0.93448376718338699</v>
      </c>
      <c r="R92" s="77">
        <f t="shared" si="18"/>
        <v>0.99981596221090729</v>
      </c>
      <c r="S92" s="4">
        <f t="shared" si="19"/>
        <v>5</v>
      </c>
      <c r="T92" s="166">
        <f t="shared" si="21"/>
        <v>1</v>
      </c>
    </row>
    <row r="93" spans="1:20" x14ac:dyDescent="0.25">
      <c r="A93" s="2" t="s">
        <v>87</v>
      </c>
      <c r="B93" s="2" t="s">
        <v>98</v>
      </c>
      <c r="C93" s="142">
        <v>4155</v>
      </c>
      <c r="D93" s="142">
        <v>532</v>
      </c>
      <c r="E93" s="142">
        <v>11082</v>
      </c>
      <c r="F93" s="142">
        <v>2173</v>
      </c>
      <c r="G93" s="142">
        <v>2</v>
      </c>
      <c r="H93" s="142">
        <v>16</v>
      </c>
      <c r="I93" s="143">
        <f t="shared" si="11"/>
        <v>17960</v>
      </c>
      <c r="J93" s="24">
        <v>15247</v>
      </c>
      <c r="K93" s="14">
        <v>2721</v>
      </c>
      <c r="L93" s="77">
        <f t="shared" si="12"/>
        <v>0.27251262543451171</v>
      </c>
      <c r="M93" s="27">
        <f t="shared" si="13"/>
        <v>0.19551635428151415</v>
      </c>
      <c r="N93" s="28">
        <f t="shared" si="14"/>
        <v>0.72683150783760742</v>
      </c>
      <c r="O93" s="28">
        <f t="shared" si="15"/>
        <v>0.79860345461227489</v>
      </c>
      <c r="P93" s="28">
        <f t="shared" si="16"/>
        <v>1.3117334557617892E-4</v>
      </c>
      <c r="Q93" s="28">
        <f t="shared" si="17"/>
        <v>5.8801911062109522E-3</v>
      </c>
      <c r="R93" s="77">
        <f t="shared" si="18"/>
        <v>0.99955476402493326</v>
      </c>
      <c r="S93" s="4">
        <f t="shared" si="19"/>
        <v>4</v>
      </c>
      <c r="T93" s="166">
        <f t="shared" si="21"/>
        <v>2</v>
      </c>
    </row>
    <row r="94" spans="1:20" x14ac:dyDescent="0.25">
      <c r="A94" s="2" t="s">
        <v>87</v>
      </c>
      <c r="B94" s="2" t="s">
        <v>99</v>
      </c>
      <c r="C94" s="142">
        <v>10115</v>
      </c>
      <c r="D94" s="142">
        <v>2445</v>
      </c>
      <c r="E94" s="142">
        <v>5690</v>
      </c>
      <c r="F94" s="142">
        <v>2039</v>
      </c>
      <c r="G94" s="142">
        <v>53</v>
      </c>
      <c r="H94" s="142">
        <v>2</v>
      </c>
      <c r="I94" s="143">
        <f t="shared" si="11"/>
        <v>20344</v>
      </c>
      <c r="J94" s="24">
        <v>173497</v>
      </c>
      <c r="K94" s="14">
        <v>40603</v>
      </c>
      <c r="L94" s="77">
        <f t="shared" si="12"/>
        <v>5.8300719897174016E-2</v>
      </c>
      <c r="M94" s="27">
        <f t="shared" si="13"/>
        <v>6.021722532817772E-2</v>
      </c>
      <c r="N94" s="28">
        <f t="shared" si="14"/>
        <v>3.2795956126042525E-2</v>
      </c>
      <c r="O94" s="28">
        <f t="shared" si="15"/>
        <v>5.0217964189838191E-2</v>
      </c>
      <c r="P94" s="28">
        <f t="shared" si="16"/>
        <v>3.0548078641129243E-4</v>
      </c>
      <c r="Q94" s="28">
        <f t="shared" si="17"/>
        <v>4.9257444031229218E-5</v>
      </c>
      <c r="R94" s="77">
        <f t="shared" si="18"/>
        <v>9.5021018215787012E-2</v>
      </c>
      <c r="S94" s="4">
        <f t="shared" si="19"/>
        <v>3</v>
      </c>
      <c r="T94" s="166">
        <f t="shared" si="21"/>
        <v>46</v>
      </c>
    </row>
    <row r="95" spans="1:20" x14ac:dyDescent="0.25">
      <c r="A95" s="2" t="s">
        <v>87</v>
      </c>
      <c r="B95" s="2" t="s">
        <v>87</v>
      </c>
      <c r="C95" s="142">
        <v>858</v>
      </c>
      <c r="D95" s="142">
        <v>463</v>
      </c>
      <c r="E95" s="142">
        <v>14648</v>
      </c>
      <c r="F95" s="142">
        <v>4977</v>
      </c>
      <c r="G95" s="142">
        <v>2678</v>
      </c>
      <c r="H95" s="142">
        <v>1706</v>
      </c>
      <c r="I95" s="143">
        <f t="shared" si="11"/>
        <v>25330</v>
      </c>
      <c r="J95" s="24">
        <v>18560</v>
      </c>
      <c r="K95" s="14">
        <v>7151</v>
      </c>
      <c r="L95" s="77">
        <f t="shared" si="12"/>
        <v>4.6228448275862068E-2</v>
      </c>
      <c r="M95" s="27">
        <f t="shared" si="13"/>
        <v>6.4746189344147678E-2</v>
      </c>
      <c r="N95" s="28">
        <f t="shared" si="14"/>
        <v>0.78922413793103452</v>
      </c>
      <c r="O95" s="28">
        <f t="shared" si="15"/>
        <v>0.69598657530415331</v>
      </c>
      <c r="P95" s="28">
        <f t="shared" si="16"/>
        <v>0.14428879310344828</v>
      </c>
      <c r="Q95" s="28">
        <f t="shared" si="17"/>
        <v>0.23856803244301497</v>
      </c>
      <c r="R95" s="77">
        <f t="shared" si="18"/>
        <v>0.98518143985064754</v>
      </c>
      <c r="S95" s="4">
        <f t="shared" si="19"/>
        <v>2</v>
      </c>
      <c r="T95" s="166">
        <f t="shared" si="21"/>
        <v>6</v>
      </c>
    </row>
    <row r="96" spans="1:20" x14ac:dyDescent="0.25">
      <c r="A96" s="2" t="s">
        <v>87</v>
      </c>
      <c r="B96" s="2" t="s">
        <v>100</v>
      </c>
      <c r="C96" s="142">
        <v>45</v>
      </c>
      <c r="D96" s="142">
        <v>2</v>
      </c>
      <c r="E96" s="142">
        <v>9776</v>
      </c>
      <c r="F96" s="142">
        <v>656</v>
      </c>
      <c r="G96" s="142">
        <v>0</v>
      </c>
      <c r="H96" s="142">
        <v>0</v>
      </c>
      <c r="I96" s="143">
        <f t="shared" si="11"/>
        <v>10479</v>
      </c>
      <c r="J96" s="24">
        <v>9932</v>
      </c>
      <c r="K96" s="14">
        <v>658</v>
      </c>
      <c r="L96" s="77">
        <f t="shared" si="12"/>
        <v>4.5308095046314939E-3</v>
      </c>
      <c r="M96" s="27">
        <f t="shared" si="13"/>
        <v>3.0395136778115501E-3</v>
      </c>
      <c r="N96" s="28">
        <f t="shared" si="14"/>
        <v>0.98429319371727753</v>
      </c>
      <c r="O96" s="28">
        <f t="shared" si="15"/>
        <v>0.99696048632218848</v>
      </c>
      <c r="P96" s="28">
        <f t="shared" si="16"/>
        <v>0</v>
      </c>
      <c r="Q96" s="28">
        <f t="shared" si="17"/>
        <v>0</v>
      </c>
      <c r="R96" s="77">
        <f t="shared" si="18"/>
        <v>0.98951841359773374</v>
      </c>
      <c r="S96" s="4">
        <f t="shared" si="19"/>
        <v>11</v>
      </c>
      <c r="T96" s="166">
        <f t="shared" si="21"/>
        <v>4</v>
      </c>
    </row>
    <row r="97" spans="1:20" x14ac:dyDescent="0.25">
      <c r="A97" s="2" t="s">
        <v>87</v>
      </c>
      <c r="B97" s="2" t="s">
        <v>101</v>
      </c>
      <c r="C97" s="142">
        <v>613</v>
      </c>
      <c r="D97" s="142">
        <v>797</v>
      </c>
      <c r="E97" s="142">
        <v>16543</v>
      </c>
      <c r="F97" s="142">
        <v>4591</v>
      </c>
      <c r="G97" s="142">
        <v>4324</v>
      </c>
      <c r="H97" s="142">
        <v>2379</v>
      </c>
      <c r="I97" s="143">
        <f t="shared" si="11"/>
        <v>29247</v>
      </c>
      <c r="J97" s="24">
        <v>21486</v>
      </c>
      <c r="K97" s="14">
        <v>7995</v>
      </c>
      <c r="L97" s="77">
        <f t="shared" si="12"/>
        <v>2.8530205715349529E-2</v>
      </c>
      <c r="M97" s="27">
        <f t="shared" si="13"/>
        <v>9.9687304565353352E-2</v>
      </c>
      <c r="N97" s="28">
        <f t="shared" si="14"/>
        <v>0.76994321884017503</v>
      </c>
      <c r="O97" s="28">
        <f t="shared" si="15"/>
        <v>0.57423389618511567</v>
      </c>
      <c r="P97" s="28">
        <f t="shared" si="16"/>
        <v>0.20124732383877875</v>
      </c>
      <c r="Q97" s="28">
        <f t="shared" si="17"/>
        <v>0.29756097560975608</v>
      </c>
      <c r="R97" s="77">
        <f t="shared" si="18"/>
        <v>0.99206268444082635</v>
      </c>
      <c r="S97" s="4">
        <f t="shared" si="19"/>
        <v>1</v>
      </c>
      <c r="T97" s="166">
        <f t="shared" si="21"/>
        <v>3</v>
      </c>
    </row>
    <row r="98" spans="1:20" s="15" customFormat="1" x14ac:dyDescent="0.25">
      <c r="A98" s="15" t="s">
        <v>87</v>
      </c>
      <c r="B98" s="15" t="s">
        <v>102</v>
      </c>
      <c r="C98" s="144">
        <v>708</v>
      </c>
      <c r="D98" s="144">
        <v>4</v>
      </c>
      <c r="E98" s="144">
        <v>181</v>
      </c>
      <c r="F98" s="144">
        <v>1</v>
      </c>
      <c r="G98" s="144">
        <v>0</v>
      </c>
      <c r="H98" s="144">
        <v>0</v>
      </c>
      <c r="I98" s="145">
        <f t="shared" si="11"/>
        <v>894</v>
      </c>
      <c r="J98" s="25">
        <v>19393</v>
      </c>
      <c r="K98" s="18">
        <v>424</v>
      </c>
      <c r="L98" s="81">
        <f t="shared" si="12"/>
        <v>3.6508018357139176E-2</v>
      </c>
      <c r="M98" s="82">
        <f t="shared" si="13"/>
        <v>9.433962264150943E-3</v>
      </c>
      <c r="N98" s="80">
        <f t="shared" si="14"/>
        <v>9.3332645800030933E-3</v>
      </c>
      <c r="O98" s="80">
        <f t="shared" si="15"/>
        <v>2.3584905660377358E-3</v>
      </c>
      <c r="P98" s="80">
        <f t="shared" si="16"/>
        <v>0</v>
      </c>
      <c r="Q98" s="80">
        <f t="shared" si="17"/>
        <v>0</v>
      </c>
      <c r="R98" s="81">
        <f t="shared" si="18"/>
        <v>4.5112781954887216E-2</v>
      </c>
      <c r="S98" s="164">
        <f t="shared" si="19"/>
        <v>45</v>
      </c>
      <c r="T98" s="167">
        <f t="shared" si="21"/>
        <v>61</v>
      </c>
    </row>
    <row r="99" spans="1:20" s="13" customFormat="1" x14ac:dyDescent="0.25">
      <c r="A99" s="13" t="s">
        <v>103</v>
      </c>
      <c r="B99" s="13" t="s">
        <v>104</v>
      </c>
      <c r="C99" s="150">
        <v>24</v>
      </c>
      <c r="D99" s="150">
        <v>21</v>
      </c>
      <c r="E99" s="150">
        <v>62</v>
      </c>
      <c r="F99" s="150">
        <v>98</v>
      </c>
      <c r="G99" s="150">
        <v>0</v>
      </c>
      <c r="H99" s="150">
        <v>0</v>
      </c>
      <c r="I99" s="143">
        <f t="shared" si="11"/>
        <v>205</v>
      </c>
      <c r="J99" s="24">
        <v>7351</v>
      </c>
      <c r="K99" s="14">
        <v>2026</v>
      </c>
      <c r="L99" s="77">
        <f t="shared" si="12"/>
        <v>3.2648619235478168E-3</v>
      </c>
      <c r="M99" s="83">
        <f t="shared" si="13"/>
        <v>1.0365251727541954E-2</v>
      </c>
      <c r="N99" s="79">
        <f t="shared" si="14"/>
        <v>8.4342266358318589E-3</v>
      </c>
      <c r="O99" s="79">
        <f t="shared" si="15"/>
        <v>4.8371174728529122E-2</v>
      </c>
      <c r="P99" s="79">
        <f t="shared" si="16"/>
        <v>0</v>
      </c>
      <c r="Q99" s="79">
        <f t="shared" si="17"/>
        <v>0</v>
      </c>
      <c r="R99" s="77">
        <f t="shared" si="18"/>
        <v>2.1862002772741813E-2</v>
      </c>
      <c r="S99" s="4">
        <f t="shared" si="19"/>
        <v>76</v>
      </c>
      <c r="T99" s="166">
        <f t="shared" si="21"/>
        <v>82</v>
      </c>
    </row>
    <row r="100" spans="1:20" x14ac:dyDescent="0.25">
      <c r="A100" s="2" t="s">
        <v>103</v>
      </c>
      <c r="B100" s="2" t="s">
        <v>105</v>
      </c>
      <c r="C100" s="142">
        <v>52</v>
      </c>
      <c r="D100" s="142">
        <v>2</v>
      </c>
      <c r="E100" s="142">
        <v>0</v>
      </c>
      <c r="F100" s="142">
        <v>0</v>
      </c>
      <c r="G100" s="142">
        <v>0</v>
      </c>
      <c r="H100" s="142">
        <v>0</v>
      </c>
      <c r="I100" s="143">
        <f t="shared" si="11"/>
        <v>54</v>
      </c>
      <c r="J100" s="24">
        <v>5110</v>
      </c>
      <c r="K100" s="14">
        <v>257</v>
      </c>
      <c r="L100" s="77">
        <f t="shared" si="12"/>
        <v>1.0176125244618396E-2</v>
      </c>
      <c r="M100" s="27">
        <f t="shared" si="13"/>
        <v>7.7821011673151752E-3</v>
      </c>
      <c r="N100" s="28">
        <f t="shared" si="14"/>
        <v>0</v>
      </c>
      <c r="O100" s="28">
        <f t="shared" si="15"/>
        <v>0</v>
      </c>
      <c r="P100" s="28">
        <f t="shared" si="16"/>
        <v>0</v>
      </c>
      <c r="Q100" s="28">
        <f t="shared" si="17"/>
        <v>0</v>
      </c>
      <c r="R100" s="77">
        <f t="shared" si="18"/>
        <v>1.0061486864169928E-2</v>
      </c>
      <c r="S100" s="4">
        <f t="shared" si="19"/>
        <v>94</v>
      </c>
      <c r="T100" s="166">
        <f t="shared" si="21"/>
        <v>91</v>
      </c>
    </row>
    <row r="101" spans="1:20" x14ac:dyDescent="0.25">
      <c r="A101" s="2" t="s">
        <v>103</v>
      </c>
      <c r="B101" s="2" t="s">
        <v>106</v>
      </c>
      <c r="C101" s="142">
        <v>714</v>
      </c>
      <c r="D101" s="142">
        <v>39</v>
      </c>
      <c r="E101" s="142">
        <v>4998</v>
      </c>
      <c r="F101" s="142">
        <v>837</v>
      </c>
      <c r="G101" s="142">
        <v>0</v>
      </c>
      <c r="H101" s="142">
        <v>0</v>
      </c>
      <c r="I101" s="143">
        <f t="shared" si="11"/>
        <v>6588</v>
      </c>
      <c r="J101" s="24">
        <v>27746</v>
      </c>
      <c r="K101" s="14">
        <v>2232</v>
      </c>
      <c r="L101" s="77">
        <f t="shared" si="12"/>
        <v>2.5733439054278093E-2</v>
      </c>
      <c r="M101" s="27">
        <f t="shared" si="13"/>
        <v>1.7473118279569891E-2</v>
      </c>
      <c r="N101" s="28">
        <f t="shared" si="14"/>
        <v>0.18013407337994666</v>
      </c>
      <c r="O101" s="28">
        <f t="shared" si="15"/>
        <v>0.375</v>
      </c>
      <c r="P101" s="28">
        <f t="shared" si="16"/>
        <v>0</v>
      </c>
      <c r="Q101" s="28">
        <f t="shared" si="17"/>
        <v>0</v>
      </c>
      <c r="R101" s="77">
        <f t="shared" si="18"/>
        <v>0.21976115818266728</v>
      </c>
      <c r="S101" s="4">
        <f t="shared" si="19"/>
        <v>18</v>
      </c>
      <c r="T101" s="166">
        <f t="shared" si="21"/>
        <v>26</v>
      </c>
    </row>
    <row r="102" spans="1:20" x14ac:dyDescent="0.25">
      <c r="A102" s="2" t="s">
        <v>103</v>
      </c>
      <c r="B102" s="2" t="s">
        <v>107</v>
      </c>
      <c r="C102" s="142">
        <v>20</v>
      </c>
      <c r="D102" s="142">
        <v>7</v>
      </c>
      <c r="E102" s="142">
        <v>82</v>
      </c>
      <c r="F102" s="142">
        <v>0</v>
      </c>
      <c r="G102" s="142">
        <v>0</v>
      </c>
      <c r="H102" s="142">
        <v>0</v>
      </c>
      <c r="I102" s="143">
        <f t="shared" si="11"/>
        <v>109</v>
      </c>
      <c r="J102" s="24">
        <v>4504</v>
      </c>
      <c r="K102" s="14">
        <v>117</v>
      </c>
      <c r="L102" s="77">
        <f t="shared" si="12"/>
        <v>4.4404973357015983E-3</v>
      </c>
      <c r="M102" s="27">
        <f t="shared" si="13"/>
        <v>5.9829059829059832E-2</v>
      </c>
      <c r="N102" s="28">
        <f t="shared" si="14"/>
        <v>1.8206039076376555E-2</v>
      </c>
      <c r="O102" s="28">
        <f t="shared" si="15"/>
        <v>0</v>
      </c>
      <c r="P102" s="28">
        <f t="shared" si="16"/>
        <v>0</v>
      </c>
      <c r="Q102" s="28">
        <f t="shared" si="17"/>
        <v>0</v>
      </c>
      <c r="R102" s="77">
        <f t="shared" si="18"/>
        <v>2.3587967972300367E-2</v>
      </c>
      <c r="S102" s="4">
        <f t="shared" si="19"/>
        <v>88</v>
      </c>
      <c r="T102" s="166">
        <f t="shared" si="21"/>
        <v>79</v>
      </c>
    </row>
    <row r="103" spans="1:20" x14ac:dyDescent="0.25">
      <c r="A103" s="2" t="s">
        <v>103</v>
      </c>
      <c r="B103" s="2" t="s">
        <v>108</v>
      </c>
      <c r="C103" s="142">
        <v>735</v>
      </c>
      <c r="D103" s="142">
        <v>36</v>
      </c>
      <c r="E103" s="142">
        <v>89</v>
      </c>
      <c r="F103" s="142">
        <v>4</v>
      </c>
      <c r="G103" s="142">
        <v>0</v>
      </c>
      <c r="H103" s="142">
        <v>0</v>
      </c>
      <c r="I103" s="143">
        <f t="shared" si="11"/>
        <v>864</v>
      </c>
      <c r="J103" s="24">
        <v>8101</v>
      </c>
      <c r="K103" s="14">
        <v>91</v>
      </c>
      <c r="L103" s="77">
        <f t="shared" si="12"/>
        <v>9.0729539563016909E-2</v>
      </c>
      <c r="M103" s="27">
        <f t="shared" si="13"/>
        <v>0.39560439560439559</v>
      </c>
      <c r="N103" s="28">
        <f t="shared" si="14"/>
        <v>1.0986297987902727E-2</v>
      </c>
      <c r="O103" s="28">
        <f t="shared" si="15"/>
        <v>4.3956043956043959E-2</v>
      </c>
      <c r="P103" s="28">
        <f t="shared" si="16"/>
        <v>0</v>
      </c>
      <c r="Q103" s="28">
        <f t="shared" si="17"/>
        <v>0</v>
      </c>
      <c r="R103" s="77">
        <f t="shared" si="18"/>
        <v>0.10546875</v>
      </c>
      <c r="S103" s="4">
        <f t="shared" si="19"/>
        <v>46</v>
      </c>
      <c r="T103" s="166">
        <f t="shared" si="21"/>
        <v>42</v>
      </c>
    </row>
    <row r="104" spans="1:20" x14ac:dyDescent="0.25">
      <c r="A104" s="2" t="s">
        <v>103</v>
      </c>
      <c r="B104" s="2" t="s">
        <v>109</v>
      </c>
      <c r="C104" s="142">
        <v>595</v>
      </c>
      <c r="D104" s="142">
        <v>12</v>
      </c>
      <c r="E104" s="142">
        <v>167</v>
      </c>
      <c r="F104" s="142">
        <v>8</v>
      </c>
      <c r="G104" s="142">
        <v>0</v>
      </c>
      <c r="H104" s="142">
        <v>0</v>
      </c>
      <c r="I104" s="143">
        <f t="shared" si="11"/>
        <v>782</v>
      </c>
      <c r="J104" s="24">
        <v>5299</v>
      </c>
      <c r="K104" s="14">
        <v>216</v>
      </c>
      <c r="L104" s="77">
        <f t="shared" si="12"/>
        <v>0.11228533685601057</v>
      </c>
      <c r="M104" s="27">
        <f t="shared" si="13"/>
        <v>5.5555555555555552E-2</v>
      </c>
      <c r="N104" s="28">
        <f t="shared" si="14"/>
        <v>3.1515380260426495E-2</v>
      </c>
      <c r="O104" s="28">
        <f t="shared" si="15"/>
        <v>3.7037037037037035E-2</v>
      </c>
      <c r="P104" s="28">
        <f t="shared" si="16"/>
        <v>0</v>
      </c>
      <c r="Q104" s="28">
        <f t="shared" si="17"/>
        <v>0</v>
      </c>
      <c r="R104" s="77">
        <f t="shared" si="18"/>
        <v>0.14179510426110609</v>
      </c>
      <c r="S104" s="4">
        <f t="shared" si="19"/>
        <v>50</v>
      </c>
      <c r="T104" s="166">
        <f t="shared" si="21"/>
        <v>39</v>
      </c>
    </row>
    <row r="105" spans="1:20" x14ac:dyDescent="0.25">
      <c r="A105" s="2" t="s">
        <v>103</v>
      </c>
      <c r="B105" s="2" t="s">
        <v>110</v>
      </c>
      <c r="C105" s="142">
        <v>1054</v>
      </c>
      <c r="D105" s="142">
        <v>305</v>
      </c>
      <c r="E105" s="142">
        <v>9442</v>
      </c>
      <c r="F105" s="142">
        <v>133</v>
      </c>
      <c r="G105" s="142">
        <v>0</v>
      </c>
      <c r="H105" s="142">
        <v>0</v>
      </c>
      <c r="I105" s="143">
        <f t="shared" si="11"/>
        <v>10934</v>
      </c>
      <c r="J105" s="24">
        <v>25795</v>
      </c>
      <c r="K105" s="14">
        <v>1537</v>
      </c>
      <c r="L105" s="77">
        <f t="shared" si="12"/>
        <v>4.0860631905408028E-2</v>
      </c>
      <c r="M105" s="27">
        <f t="shared" si="13"/>
        <v>0.19843851659076123</v>
      </c>
      <c r="N105" s="28">
        <f t="shared" si="14"/>
        <v>0.36603993021903469</v>
      </c>
      <c r="O105" s="28">
        <f t="shared" si="15"/>
        <v>8.6532205595315548E-2</v>
      </c>
      <c r="P105" s="28">
        <f t="shared" si="16"/>
        <v>0</v>
      </c>
      <c r="Q105" s="28">
        <f t="shared" si="17"/>
        <v>0</v>
      </c>
      <c r="R105" s="77">
        <f t="shared" si="18"/>
        <v>0.40004390458071126</v>
      </c>
      <c r="S105" s="4">
        <f t="shared" si="19"/>
        <v>7</v>
      </c>
      <c r="T105" s="166">
        <f t="shared" si="21"/>
        <v>19</v>
      </c>
    </row>
    <row r="106" spans="1:20" s="15" customFormat="1" x14ac:dyDescent="0.25">
      <c r="A106" s="15" t="s">
        <v>103</v>
      </c>
      <c r="B106" s="15" t="s">
        <v>111</v>
      </c>
      <c r="C106" s="144">
        <v>488</v>
      </c>
      <c r="D106" s="144">
        <v>54</v>
      </c>
      <c r="E106" s="144">
        <v>416</v>
      </c>
      <c r="F106" s="144">
        <v>117</v>
      </c>
      <c r="G106" s="144">
        <v>0</v>
      </c>
      <c r="H106" s="144">
        <v>0</v>
      </c>
      <c r="I106" s="145">
        <f t="shared" si="11"/>
        <v>1075</v>
      </c>
      <c r="J106" s="25">
        <v>29921</v>
      </c>
      <c r="K106" s="18">
        <v>5331</v>
      </c>
      <c r="L106" s="81">
        <f t="shared" si="12"/>
        <v>1.6309615320343571E-2</v>
      </c>
      <c r="M106" s="82">
        <f t="shared" si="13"/>
        <v>1.0129431626336522E-2</v>
      </c>
      <c r="N106" s="80">
        <f t="shared" si="14"/>
        <v>1.3903278633735503E-2</v>
      </c>
      <c r="O106" s="80">
        <f t="shared" si="15"/>
        <v>2.1947101857062466E-2</v>
      </c>
      <c r="P106" s="80">
        <f t="shared" si="16"/>
        <v>0</v>
      </c>
      <c r="Q106" s="80">
        <f t="shared" si="17"/>
        <v>0</v>
      </c>
      <c r="R106" s="81">
        <f t="shared" si="18"/>
        <v>3.0494723703619653E-2</v>
      </c>
      <c r="S106" s="164">
        <f t="shared" si="19"/>
        <v>42</v>
      </c>
      <c r="T106" s="167">
        <f t="shared" si="21"/>
        <v>70</v>
      </c>
    </row>
    <row r="107" spans="1:20" s="13" customFormat="1" x14ac:dyDescent="0.25">
      <c r="A107" s="13" t="s">
        <v>112</v>
      </c>
      <c r="B107" s="13" t="s">
        <v>135</v>
      </c>
      <c r="C107" s="150">
        <v>53</v>
      </c>
      <c r="D107" s="150">
        <v>16</v>
      </c>
      <c r="E107" s="150">
        <v>0</v>
      </c>
      <c r="F107" s="150">
        <v>0</v>
      </c>
      <c r="G107" s="150">
        <v>0</v>
      </c>
      <c r="H107" s="150">
        <v>0</v>
      </c>
      <c r="I107" s="143">
        <f t="shared" si="11"/>
        <v>69</v>
      </c>
      <c r="J107" s="24">
        <v>2549</v>
      </c>
      <c r="K107" s="14">
        <v>342</v>
      </c>
      <c r="L107" s="77">
        <f t="shared" si="12"/>
        <v>2.0792467634366419E-2</v>
      </c>
      <c r="M107" s="83">
        <f t="shared" si="13"/>
        <v>4.6783625730994149E-2</v>
      </c>
      <c r="N107" s="79">
        <f t="shared" si="14"/>
        <v>0</v>
      </c>
      <c r="O107" s="79">
        <f t="shared" si="15"/>
        <v>0</v>
      </c>
      <c r="P107" s="79">
        <f t="shared" si="16"/>
        <v>0</v>
      </c>
      <c r="Q107" s="79">
        <f t="shared" si="17"/>
        <v>0</v>
      </c>
      <c r="R107" s="77">
        <f t="shared" si="18"/>
        <v>2.3867173988239364E-2</v>
      </c>
      <c r="S107" s="4">
        <f t="shared" si="19"/>
        <v>90</v>
      </c>
      <c r="T107" s="166">
        <f t="shared" si="21"/>
        <v>78</v>
      </c>
    </row>
    <row r="108" spans="1:20" x14ac:dyDescent="0.25">
      <c r="A108" s="2" t="s">
        <v>112</v>
      </c>
      <c r="B108" s="2" t="s">
        <v>113</v>
      </c>
      <c r="C108" s="142">
        <v>120</v>
      </c>
      <c r="D108" s="142">
        <v>117</v>
      </c>
      <c r="E108" s="142">
        <v>94</v>
      </c>
      <c r="F108" s="142">
        <v>53</v>
      </c>
      <c r="G108" s="142">
        <v>0</v>
      </c>
      <c r="H108" s="142">
        <v>0</v>
      </c>
      <c r="I108" s="143">
        <f t="shared" si="11"/>
        <v>384</v>
      </c>
      <c r="J108" s="24">
        <v>1423</v>
      </c>
      <c r="K108" s="14">
        <v>659</v>
      </c>
      <c r="L108" s="77">
        <f t="shared" si="12"/>
        <v>8.4328882642304995E-2</v>
      </c>
      <c r="M108" s="27">
        <f t="shared" si="13"/>
        <v>0.17754172989377845</v>
      </c>
      <c r="N108" s="28">
        <f t="shared" si="14"/>
        <v>6.605762473647224E-2</v>
      </c>
      <c r="O108" s="28">
        <f t="shared" si="15"/>
        <v>8.042488619119878E-2</v>
      </c>
      <c r="P108" s="28">
        <f t="shared" si="16"/>
        <v>0</v>
      </c>
      <c r="Q108" s="28">
        <f t="shared" si="17"/>
        <v>0</v>
      </c>
      <c r="R108" s="77">
        <f t="shared" si="18"/>
        <v>0.18443804034582131</v>
      </c>
      <c r="S108" s="4">
        <f t="shared" si="19"/>
        <v>63</v>
      </c>
      <c r="T108" s="166">
        <f t="shared" si="21"/>
        <v>33</v>
      </c>
    </row>
    <row r="109" spans="1:20" x14ac:dyDescent="0.25">
      <c r="A109" s="2" t="s">
        <v>112</v>
      </c>
      <c r="B109" s="2" t="s">
        <v>114</v>
      </c>
      <c r="C109" s="142">
        <v>19</v>
      </c>
      <c r="D109" s="142">
        <v>17</v>
      </c>
      <c r="E109" s="142">
        <v>248</v>
      </c>
      <c r="F109" s="142">
        <v>7</v>
      </c>
      <c r="G109" s="142">
        <v>0</v>
      </c>
      <c r="H109" s="142">
        <v>0</v>
      </c>
      <c r="I109" s="143">
        <f t="shared" si="11"/>
        <v>291</v>
      </c>
      <c r="J109" s="24">
        <v>3182</v>
      </c>
      <c r="K109" s="14">
        <v>667</v>
      </c>
      <c r="L109" s="77">
        <f t="shared" si="12"/>
        <v>5.9710873664362034E-3</v>
      </c>
      <c r="M109" s="27">
        <f t="shared" si="13"/>
        <v>2.5487256371814093E-2</v>
      </c>
      <c r="N109" s="28">
        <f t="shared" si="14"/>
        <v>7.7938403519798874E-2</v>
      </c>
      <c r="O109" s="28">
        <f t="shared" si="15"/>
        <v>1.0494752623688156E-2</v>
      </c>
      <c r="P109" s="28">
        <f t="shared" si="16"/>
        <v>0</v>
      </c>
      <c r="Q109" s="28">
        <f t="shared" si="17"/>
        <v>0</v>
      </c>
      <c r="R109" s="77">
        <f t="shared" si="18"/>
        <v>7.5604053000779423E-2</v>
      </c>
      <c r="S109" s="4">
        <f t="shared" si="19"/>
        <v>72</v>
      </c>
      <c r="T109" s="166">
        <f t="shared" si="21"/>
        <v>52</v>
      </c>
    </row>
    <row r="110" spans="1:20" x14ac:dyDescent="0.25">
      <c r="A110" s="2" t="s">
        <v>112</v>
      </c>
      <c r="B110" s="2" t="s">
        <v>115</v>
      </c>
      <c r="C110" s="142">
        <v>84</v>
      </c>
      <c r="D110" s="142">
        <v>48</v>
      </c>
      <c r="E110" s="142">
        <v>284</v>
      </c>
      <c r="F110" s="142">
        <v>158</v>
      </c>
      <c r="G110" s="142">
        <v>0</v>
      </c>
      <c r="H110" s="142">
        <v>0</v>
      </c>
      <c r="I110" s="143">
        <f t="shared" si="11"/>
        <v>574</v>
      </c>
      <c r="J110" s="24">
        <v>14844</v>
      </c>
      <c r="K110" s="14">
        <v>2015</v>
      </c>
      <c r="L110" s="77">
        <f t="shared" si="12"/>
        <v>5.6588520614389648E-3</v>
      </c>
      <c r="M110" s="27">
        <f t="shared" si="13"/>
        <v>2.3821339950372208E-2</v>
      </c>
      <c r="N110" s="28">
        <f t="shared" si="14"/>
        <v>1.9132309350579357E-2</v>
      </c>
      <c r="O110" s="28">
        <f t="shared" si="15"/>
        <v>7.8411910669975188E-2</v>
      </c>
      <c r="P110" s="28">
        <f t="shared" si="16"/>
        <v>0</v>
      </c>
      <c r="Q110" s="28">
        <f t="shared" si="17"/>
        <v>0</v>
      </c>
      <c r="R110" s="77">
        <f t="shared" si="18"/>
        <v>3.4047096506317098E-2</v>
      </c>
      <c r="S110" s="4">
        <f t="shared" si="19"/>
        <v>54</v>
      </c>
      <c r="T110" s="166">
        <f t="shared" si="21"/>
        <v>69</v>
      </c>
    </row>
    <row r="111" spans="1:20" x14ac:dyDescent="0.25">
      <c r="A111" s="2" t="s">
        <v>112</v>
      </c>
      <c r="B111" s="2" t="s">
        <v>116</v>
      </c>
      <c r="C111" s="142">
        <v>38</v>
      </c>
      <c r="D111" s="142">
        <v>2</v>
      </c>
      <c r="E111" s="142">
        <v>113</v>
      </c>
      <c r="F111" s="142">
        <v>0</v>
      </c>
      <c r="G111" s="142">
        <v>0</v>
      </c>
      <c r="H111" s="142">
        <v>0</v>
      </c>
      <c r="I111" s="143">
        <f t="shared" si="11"/>
        <v>153</v>
      </c>
      <c r="J111" s="24">
        <v>8013</v>
      </c>
      <c r="K111" s="14">
        <v>2135</v>
      </c>
      <c r="L111" s="77">
        <f t="shared" si="12"/>
        <v>4.7422937726194934E-3</v>
      </c>
      <c r="M111" s="27">
        <f t="shared" si="13"/>
        <v>9.3676814988290398E-4</v>
      </c>
      <c r="N111" s="28">
        <f t="shared" si="14"/>
        <v>1.4102084113315861E-2</v>
      </c>
      <c r="O111" s="28">
        <f t="shared" si="15"/>
        <v>0</v>
      </c>
      <c r="P111" s="28">
        <f t="shared" si="16"/>
        <v>0</v>
      </c>
      <c r="Q111" s="28">
        <f t="shared" si="17"/>
        <v>0</v>
      </c>
      <c r="R111" s="77">
        <f t="shared" si="18"/>
        <v>1.507686243594797E-2</v>
      </c>
      <c r="S111" s="4">
        <f t="shared" si="19"/>
        <v>82</v>
      </c>
      <c r="T111" s="166">
        <f t="shared" si="21"/>
        <v>87</v>
      </c>
    </row>
    <row r="112" spans="1:20" x14ac:dyDescent="0.25">
      <c r="A112" s="2" t="s">
        <v>112</v>
      </c>
      <c r="B112" s="2" t="s">
        <v>117</v>
      </c>
      <c r="C112" s="142">
        <v>117</v>
      </c>
      <c r="D112" s="142">
        <v>6</v>
      </c>
      <c r="E112" s="142">
        <v>307</v>
      </c>
      <c r="F112" s="142">
        <v>57</v>
      </c>
      <c r="G112" s="142">
        <v>0</v>
      </c>
      <c r="H112" s="142">
        <v>0</v>
      </c>
      <c r="I112" s="143">
        <f t="shared" si="11"/>
        <v>487</v>
      </c>
      <c r="J112" s="24">
        <v>39202</v>
      </c>
      <c r="K112" s="14">
        <v>8516</v>
      </c>
      <c r="L112" s="77">
        <f t="shared" si="12"/>
        <v>2.9845416050201519E-3</v>
      </c>
      <c r="M112" s="27">
        <f t="shared" si="13"/>
        <v>7.045561296383278E-4</v>
      </c>
      <c r="N112" s="28">
        <f t="shared" si="14"/>
        <v>7.8312331003520235E-3</v>
      </c>
      <c r="O112" s="28">
        <f t="shared" si="15"/>
        <v>6.6932832315641146E-3</v>
      </c>
      <c r="P112" s="28">
        <f t="shared" si="16"/>
        <v>0</v>
      </c>
      <c r="Q112" s="28">
        <f t="shared" si="17"/>
        <v>0</v>
      </c>
      <c r="R112" s="77">
        <f t="shared" si="18"/>
        <v>1.0205792363468712E-2</v>
      </c>
      <c r="S112" s="4">
        <f t="shared" si="19"/>
        <v>56</v>
      </c>
      <c r="T112" s="166">
        <f t="shared" si="21"/>
        <v>90</v>
      </c>
    </row>
    <row r="113" spans="1:21" x14ac:dyDescent="0.25">
      <c r="A113" s="2" t="s">
        <v>112</v>
      </c>
      <c r="B113" s="2" t="s">
        <v>118</v>
      </c>
      <c r="C113" s="142">
        <v>18</v>
      </c>
      <c r="D113" s="142">
        <v>32</v>
      </c>
      <c r="E113" s="142">
        <v>9</v>
      </c>
      <c r="F113" s="142">
        <v>2</v>
      </c>
      <c r="G113" s="142">
        <v>0</v>
      </c>
      <c r="H113" s="142">
        <v>0</v>
      </c>
      <c r="I113" s="143">
        <f t="shared" si="11"/>
        <v>61</v>
      </c>
      <c r="J113" s="24">
        <v>1798</v>
      </c>
      <c r="K113" s="14">
        <v>527</v>
      </c>
      <c r="L113" s="77">
        <f t="shared" si="12"/>
        <v>1.0011123470522803E-2</v>
      </c>
      <c r="M113" s="27">
        <f t="shared" si="13"/>
        <v>6.0721062618595827E-2</v>
      </c>
      <c r="N113" s="28">
        <f t="shared" si="14"/>
        <v>5.0055617352614016E-3</v>
      </c>
      <c r="O113" s="28">
        <f t="shared" si="15"/>
        <v>3.7950664136622392E-3</v>
      </c>
      <c r="P113" s="28">
        <f t="shared" si="16"/>
        <v>0</v>
      </c>
      <c r="Q113" s="28">
        <f t="shared" si="17"/>
        <v>0</v>
      </c>
      <c r="R113" s="77">
        <f t="shared" si="18"/>
        <v>2.6236559139784947E-2</v>
      </c>
      <c r="S113" s="4">
        <f t="shared" si="19"/>
        <v>93</v>
      </c>
      <c r="T113" s="166">
        <f t="shared" si="21"/>
        <v>75</v>
      </c>
    </row>
    <row r="114" spans="1:21" x14ac:dyDescent="0.25">
      <c r="A114" s="2" t="s">
        <v>112</v>
      </c>
      <c r="B114" s="2" t="s">
        <v>112</v>
      </c>
      <c r="C114" s="142">
        <v>31</v>
      </c>
      <c r="D114" s="142">
        <v>4</v>
      </c>
      <c r="E114" s="142">
        <v>690</v>
      </c>
      <c r="F114" s="142">
        <v>66</v>
      </c>
      <c r="G114" s="142">
        <v>0</v>
      </c>
      <c r="H114" s="142">
        <v>0</v>
      </c>
      <c r="I114" s="143">
        <f t="shared" si="11"/>
        <v>791</v>
      </c>
      <c r="J114" s="24">
        <v>2732</v>
      </c>
      <c r="K114" s="14">
        <v>1034</v>
      </c>
      <c r="L114" s="77">
        <f t="shared" si="12"/>
        <v>1.1346998535871157E-2</v>
      </c>
      <c r="M114" s="27">
        <f t="shared" si="13"/>
        <v>3.8684719535783366E-3</v>
      </c>
      <c r="N114" s="28">
        <f t="shared" si="14"/>
        <v>0.25256222547584189</v>
      </c>
      <c r="O114" s="28">
        <f t="shared" si="15"/>
        <v>6.3829787234042548E-2</v>
      </c>
      <c r="P114" s="28">
        <f t="shared" si="16"/>
        <v>0</v>
      </c>
      <c r="Q114" s="28">
        <f t="shared" si="17"/>
        <v>0</v>
      </c>
      <c r="R114" s="77">
        <f t="shared" si="18"/>
        <v>0.2100371747211896</v>
      </c>
      <c r="S114" s="4">
        <f t="shared" si="19"/>
        <v>49</v>
      </c>
      <c r="T114" s="166">
        <f t="shared" si="21"/>
        <v>28</v>
      </c>
    </row>
    <row r="115" spans="1:21" x14ac:dyDescent="0.25">
      <c r="A115" s="2" t="s">
        <v>112</v>
      </c>
      <c r="B115" s="2" t="s">
        <v>119</v>
      </c>
      <c r="C115" s="142">
        <v>3128</v>
      </c>
      <c r="D115" s="142">
        <v>315</v>
      </c>
      <c r="E115" s="142">
        <v>530</v>
      </c>
      <c r="F115" s="142">
        <v>47</v>
      </c>
      <c r="G115" s="142">
        <v>0</v>
      </c>
      <c r="H115" s="142">
        <v>0</v>
      </c>
      <c r="I115" s="143">
        <f t="shared" si="11"/>
        <v>4020</v>
      </c>
      <c r="J115" s="24">
        <v>48377</v>
      </c>
      <c r="K115" s="14">
        <v>3023</v>
      </c>
      <c r="L115" s="77">
        <f t="shared" si="12"/>
        <v>6.4658825474915763E-2</v>
      </c>
      <c r="M115" s="27">
        <f t="shared" si="13"/>
        <v>0.10420112471055243</v>
      </c>
      <c r="N115" s="28">
        <f t="shared" si="14"/>
        <v>1.0955619405916035E-2</v>
      </c>
      <c r="O115" s="28">
        <f t="shared" si="15"/>
        <v>1.5547469401257029E-2</v>
      </c>
      <c r="P115" s="28">
        <f t="shared" si="16"/>
        <v>0</v>
      </c>
      <c r="Q115" s="28">
        <f t="shared" si="17"/>
        <v>0</v>
      </c>
      <c r="R115" s="77">
        <f t="shared" si="18"/>
        <v>7.8210116731517509E-2</v>
      </c>
      <c r="S115" s="4">
        <f t="shared" si="19"/>
        <v>24</v>
      </c>
      <c r="T115" s="166">
        <f t="shared" si="21"/>
        <v>49</v>
      </c>
    </row>
    <row r="116" spans="1:21" x14ac:dyDescent="0.25">
      <c r="A116" s="15" t="s">
        <v>112</v>
      </c>
      <c r="B116" s="15" t="s">
        <v>120</v>
      </c>
      <c r="C116" s="144">
        <v>71</v>
      </c>
      <c r="D116" s="144">
        <v>10</v>
      </c>
      <c r="E116" s="144">
        <v>394</v>
      </c>
      <c r="F116" s="144">
        <v>11</v>
      </c>
      <c r="G116" s="144">
        <v>0</v>
      </c>
      <c r="H116" s="144">
        <v>0</v>
      </c>
      <c r="I116" s="145">
        <f t="shared" si="11"/>
        <v>486</v>
      </c>
      <c r="J116" s="25">
        <v>7371</v>
      </c>
      <c r="K116" s="18">
        <v>694</v>
      </c>
      <c r="L116" s="81">
        <f t="shared" si="12"/>
        <v>9.6323429656762997E-3</v>
      </c>
      <c r="M116" s="82">
        <f t="shared" si="13"/>
        <v>1.4409221902017291E-2</v>
      </c>
      <c r="N116" s="80">
        <f t="shared" si="14"/>
        <v>5.3452720119386787E-2</v>
      </c>
      <c r="O116" s="80">
        <f t="shared" si="15"/>
        <v>1.5850144092219021E-2</v>
      </c>
      <c r="P116" s="80">
        <f t="shared" si="16"/>
        <v>0</v>
      </c>
      <c r="Q116" s="80">
        <f t="shared" si="17"/>
        <v>0</v>
      </c>
      <c r="R116" s="81">
        <f t="shared" si="18"/>
        <v>6.0260384376937384E-2</v>
      </c>
      <c r="S116" s="164">
        <f t="shared" si="19"/>
        <v>57</v>
      </c>
      <c r="T116" s="167">
        <f t="shared" si="21"/>
        <v>55</v>
      </c>
      <c r="U116" s="15"/>
    </row>
  </sheetData>
  <mergeCells count="15">
    <mergeCell ref="A2:J2"/>
    <mergeCell ref="A3:J3"/>
    <mergeCell ref="B6:B7"/>
    <mergeCell ref="G6:H6"/>
    <mergeCell ref="E6:F6"/>
    <mergeCell ref="C6:D6"/>
    <mergeCell ref="L6:M6"/>
    <mergeCell ref="C5:I5"/>
    <mergeCell ref="L5:R5"/>
    <mergeCell ref="S5:T5"/>
    <mergeCell ref="S6:S7"/>
    <mergeCell ref="T6:T7"/>
    <mergeCell ref="N6:O6"/>
    <mergeCell ref="J6:K6"/>
    <mergeCell ref="P6:Q6"/>
  </mergeCells>
  <conditionalFormatting sqref="L8:R116">
    <cfRule type="colorScale" priority="1">
      <colorScale>
        <cfvo type="min"/>
        <cfvo type="max"/>
        <color rgb="FFFCFCFF"/>
        <color rgb="FF63BE7B"/>
      </colorScale>
    </cfRule>
  </conditionalFormatting>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AC4F-67C4-4EBB-AEF7-C26AFF301F60}">
  <dimension ref="A1:AX120"/>
  <sheetViews>
    <sheetView workbookViewId="0">
      <pane ySplit="11" topLeftCell="A48" activePane="bottomLeft" state="frozen"/>
      <selection pane="bottomLeft" activeCell="B1" sqref="B1:L6"/>
    </sheetView>
  </sheetViews>
  <sheetFormatPr defaultRowHeight="15" x14ac:dyDescent="0.25"/>
  <cols>
    <col min="1" max="1" width="12.85546875" customWidth="1"/>
    <col min="2" max="2" width="25.140625" customWidth="1"/>
    <col min="3" max="21" width="4.5703125" customWidth="1"/>
    <col min="22" max="22" width="4.85546875" customWidth="1"/>
    <col min="23" max="42" width="5" customWidth="1"/>
    <col min="43" max="50" width="5.28515625" customWidth="1"/>
  </cols>
  <sheetData>
    <row r="1" spans="1:50" ht="15.75" x14ac:dyDescent="0.25">
      <c r="C1" s="37" t="s">
        <v>191</v>
      </c>
    </row>
    <row r="2" spans="1:50" x14ac:dyDescent="0.25">
      <c r="B2" s="21" t="s">
        <v>136</v>
      </c>
      <c r="C2" s="6" t="s">
        <v>137</v>
      </c>
      <c r="D2" s="8" t="s">
        <v>138</v>
      </c>
      <c r="E2" s="6" t="s">
        <v>139</v>
      </c>
      <c r="F2" s="8" t="s">
        <v>140</v>
      </c>
      <c r="G2" s="6" t="s">
        <v>141</v>
      </c>
      <c r="H2" s="8" t="s">
        <v>142</v>
      </c>
      <c r="I2" s="6" t="s">
        <v>143</v>
      </c>
      <c r="J2" s="8" t="s">
        <v>144</v>
      </c>
      <c r="K2" s="6" t="s">
        <v>145</v>
      </c>
      <c r="L2" s="5" t="s">
        <v>146</v>
      </c>
      <c r="W2" t="s">
        <v>147</v>
      </c>
    </row>
    <row r="3" spans="1:50" x14ac:dyDescent="0.25">
      <c r="B3" s="21" t="s">
        <v>148</v>
      </c>
      <c r="C3" s="6">
        <v>12</v>
      </c>
      <c r="D3" s="8">
        <v>24</v>
      </c>
      <c r="E3" s="6">
        <v>36</v>
      </c>
      <c r="I3" s="6">
        <v>83</v>
      </c>
      <c r="W3" t="s">
        <v>149</v>
      </c>
    </row>
    <row r="4" spans="1:50" x14ac:dyDescent="0.25">
      <c r="B4" s="21"/>
      <c r="C4" s="6">
        <f>C3/12</f>
        <v>1</v>
      </c>
      <c r="D4" s="8">
        <f t="shared" ref="D4:I4" si="0">D3/12</f>
        <v>2</v>
      </c>
      <c r="E4" s="6">
        <f t="shared" si="0"/>
        <v>3</v>
      </c>
      <c r="I4" s="6">
        <f t="shared" si="0"/>
        <v>6.916666666666667</v>
      </c>
      <c r="W4" t="s">
        <v>150</v>
      </c>
    </row>
    <row r="5" spans="1:50" x14ac:dyDescent="0.25">
      <c r="B5" s="21" t="s">
        <v>151</v>
      </c>
      <c r="C5" s="6">
        <v>12</v>
      </c>
      <c r="D5" s="8">
        <v>24</v>
      </c>
      <c r="E5" s="6">
        <v>36</v>
      </c>
      <c r="F5" s="7">
        <v>48</v>
      </c>
      <c r="G5" s="8">
        <v>52</v>
      </c>
      <c r="H5" s="6">
        <v>66</v>
      </c>
      <c r="I5" s="8">
        <v>77</v>
      </c>
      <c r="J5" s="6">
        <v>84</v>
      </c>
      <c r="K5" s="8">
        <v>96</v>
      </c>
      <c r="L5" s="6">
        <v>108</v>
      </c>
      <c r="P5" s="10"/>
      <c r="Q5" s="10"/>
      <c r="R5" s="10"/>
      <c r="W5" s="10" t="s">
        <v>152</v>
      </c>
    </row>
    <row r="6" spans="1:50" x14ac:dyDescent="0.25">
      <c r="C6" s="6">
        <f>C5/12</f>
        <v>1</v>
      </c>
      <c r="D6" s="8">
        <f t="shared" ref="D6:L6" si="1">D5/12</f>
        <v>2</v>
      </c>
      <c r="E6" s="6">
        <f t="shared" si="1"/>
        <v>3</v>
      </c>
      <c r="F6" s="7">
        <f t="shared" si="1"/>
        <v>4</v>
      </c>
      <c r="G6" s="8">
        <f t="shared" si="1"/>
        <v>4.333333333333333</v>
      </c>
      <c r="H6" s="6">
        <f t="shared" si="1"/>
        <v>5.5</v>
      </c>
      <c r="I6" s="8">
        <f t="shared" si="1"/>
        <v>6.416666666666667</v>
      </c>
      <c r="J6" s="6">
        <f t="shared" si="1"/>
        <v>7</v>
      </c>
      <c r="K6" s="8">
        <f t="shared" si="1"/>
        <v>8</v>
      </c>
      <c r="L6" s="6">
        <f t="shared" si="1"/>
        <v>9</v>
      </c>
    </row>
    <row r="8" spans="1:50" x14ac:dyDescent="0.25">
      <c r="I8" s="9"/>
      <c r="K8" s="9"/>
      <c r="M8" s="9"/>
      <c r="O8" s="9"/>
      <c r="Q8" s="9"/>
      <c r="S8" s="9"/>
      <c r="U8" s="9"/>
    </row>
    <row r="9" spans="1:50" x14ac:dyDescent="0.25">
      <c r="C9" s="10" t="s">
        <v>192</v>
      </c>
      <c r="D9" s="10"/>
      <c r="I9" s="9"/>
      <c r="K9" s="9">
        <v>4.33</v>
      </c>
      <c r="M9" s="9">
        <v>5.5</v>
      </c>
      <c r="O9" s="9">
        <v>6.42</v>
      </c>
      <c r="Q9" s="9">
        <v>7</v>
      </c>
      <c r="S9" s="9">
        <v>8</v>
      </c>
      <c r="U9" s="9">
        <v>9</v>
      </c>
      <c r="W9" s="10" t="s">
        <v>190</v>
      </c>
      <c r="AC9" s="9"/>
      <c r="AE9" s="9"/>
      <c r="AG9" s="9"/>
      <c r="AI9" s="9"/>
      <c r="AK9" s="9"/>
      <c r="AM9" s="9"/>
      <c r="AO9" s="9"/>
      <c r="AQ9" s="10" t="s">
        <v>193</v>
      </c>
      <c r="AW9" s="49">
        <v>6.9</v>
      </c>
    </row>
    <row r="10" spans="1:50" x14ac:dyDescent="0.25">
      <c r="C10" s="267" t="s">
        <v>153</v>
      </c>
      <c r="D10" s="267"/>
      <c r="E10" s="267" t="s">
        <v>154</v>
      </c>
      <c r="F10" s="267"/>
      <c r="G10" s="267" t="s">
        <v>155</v>
      </c>
      <c r="H10" s="267"/>
      <c r="I10" s="267" t="s">
        <v>156</v>
      </c>
      <c r="J10" s="267"/>
      <c r="K10" s="267">
        <v>52</v>
      </c>
      <c r="L10" s="267"/>
      <c r="M10" s="267">
        <v>66</v>
      </c>
      <c r="N10" s="267"/>
      <c r="O10" s="267">
        <v>77</v>
      </c>
      <c r="P10" s="267"/>
      <c r="Q10" s="267">
        <v>84</v>
      </c>
      <c r="R10" s="267"/>
      <c r="S10" s="267">
        <v>96</v>
      </c>
      <c r="T10" s="267"/>
      <c r="U10" s="267">
        <v>108</v>
      </c>
      <c r="V10" s="267"/>
      <c r="W10" s="267" t="s">
        <v>153</v>
      </c>
      <c r="X10" s="267"/>
      <c r="Y10" s="267" t="s">
        <v>154</v>
      </c>
      <c r="Z10" s="267"/>
      <c r="AA10" s="267" t="s">
        <v>155</v>
      </c>
      <c r="AB10" s="267"/>
      <c r="AC10" s="267" t="s">
        <v>156</v>
      </c>
      <c r="AD10" s="267"/>
      <c r="AE10" s="267" t="s">
        <v>175</v>
      </c>
      <c r="AF10" s="267"/>
      <c r="AG10" s="267" t="s">
        <v>176</v>
      </c>
      <c r="AH10" s="267"/>
      <c r="AI10" s="267" t="s">
        <v>177</v>
      </c>
      <c r="AJ10" s="267"/>
      <c r="AK10" s="267" t="s">
        <v>160</v>
      </c>
      <c r="AL10" s="267"/>
      <c r="AM10" s="267" t="s">
        <v>161</v>
      </c>
      <c r="AN10" s="267"/>
      <c r="AO10" s="267" t="s">
        <v>162</v>
      </c>
      <c r="AP10" s="267"/>
      <c r="AQ10" s="267" t="s">
        <v>153</v>
      </c>
      <c r="AR10" s="267"/>
      <c r="AS10" s="267" t="s">
        <v>154</v>
      </c>
      <c r="AT10" s="267"/>
      <c r="AU10" s="267" t="s">
        <v>155</v>
      </c>
      <c r="AV10" s="267"/>
      <c r="AW10" s="267" t="s">
        <v>174</v>
      </c>
      <c r="AX10" s="267"/>
    </row>
    <row r="11" spans="1:50" x14ac:dyDescent="0.25">
      <c r="A11" s="1" t="s">
        <v>10</v>
      </c>
      <c r="B11" s="1" t="s">
        <v>127</v>
      </c>
      <c r="C11" s="10" t="s">
        <v>12</v>
      </c>
      <c r="D11" s="10" t="s">
        <v>13</v>
      </c>
      <c r="E11" s="10" t="s">
        <v>12</v>
      </c>
      <c r="F11" s="10" t="s">
        <v>13</v>
      </c>
      <c r="G11" s="10" t="s">
        <v>12</v>
      </c>
      <c r="H11" s="10" t="s">
        <v>13</v>
      </c>
      <c r="I11" s="10" t="s">
        <v>12</v>
      </c>
      <c r="J11" s="10" t="s">
        <v>13</v>
      </c>
      <c r="K11" s="10" t="s">
        <v>12</v>
      </c>
      <c r="L11" s="10" t="s">
        <v>13</v>
      </c>
      <c r="M11" s="10" t="s">
        <v>12</v>
      </c>
      <c r="N11" s="10" t="s">
        <v>13</v>
      </c>
      <c r="O11" s="10" t="s">
        <v>12</v>
      </c>
      <c r="P11" s="10" t="s">
        <v>13</v>
      </c>
      <c r="Q11" s="10" t="s">
        <v>12</v>
      </c>
      <c r="R11" s="10" t="s">
        <v>13</v>
      </c>
      <c r="S11" s="10" t="s">
        <v>12</v>
      </c>
      <c r="T11" s="10" t="s">
        <v>13</v>
      </c>
      <c r="U11" s="10" t="s">
        <v>12</v>
      </c>
      <c r="V11" s="10" t="s">
        <v>13</v>
      </c>
      <c r="W11" s="10" t="s">
        <v>12</v>
      </c>
      <c r="X11" s="10" t="s">
        <v>13</v>
      </c>
      <c r="Y11" s="10" t="s">
        <v>12</v>
      </c>
      <c r="Z11" s="10" t="s">
        <v>13</v>
      </c>
      <c r="AA11" s="10" t="s">
        <v>12</v>
      </c>
      <c r="AB11" s="10" t="s">
        <v>13</v>
      </c>
      <c r="AC11" s="10" t="s">
        <v>12</v>
      </c>
      <c r="AD11" s="10" t="s">
        <v>13</v>
      </c>
      <c r="AE11" s="10" t="s">
        <v>12</v>
      </c>
      <c r="AF11" s="10" t="s">
        <v>13</v>
      </c>
      <c r="AG11" s="10" t="s">
        <v>12</v>
      </c>
      <c r="AH11" s="10" t="s">
        <v>13</v>
      </c>
      <c r="AI11" s="10" t="s">
        <v>12</v>
      </c>
      <c r="AJ11" s="10" t="s">
        <v>13</v>
      </c>
      <c r="AK11" s="10" t="s">
        <v>12</v>
      </c>
      <c r="AL11" s="10" t="s">
        <v>13</v>
      </c>
      <c r="AM11" s="10" t="s">
        <v>12</v>
      </c>
      <c r="AN11" s="10" t="s">
        <v>13</v>
      </c>
      <c r="AO11" s="10" t="s">
        <v>12</v>
      </c>
      <c r="AP11" s="10" t="s">
        <v>13</v>
      </c>
      <c r="AQ11" s="10" t="s">
        <v>12</v>
      </c>
      <c r="AR11" s="10" t="s">
        <v>13</v>
      </c>
      <c r="AS11" s="10" t="s">
        <v>12</v>
      </c>
      <c r="AT11" s="10" t="s">
        <v>13</v>
      </c>
      <c r="AU11" s="10" t="s">
        <v>12</v>
      </c>
      <c r="AV11" s="10" t="s">
        <v>13</v>
      </c>
      <c r="AW11" s="10" t="s">
        <v>12</v>
      </c>
      <c r="AX11" s="10" t="s">
        <v>13</v>
      </c>
    </row>
    <row r="12" spans="1:50" x14ac:dyDescent="0.25">
      <c r="A12" s="3" t="s">
        <v>16</v>
      </c>
      <c r="B12" s="3" t="s">
        <v>16</v>
      </c>
      <c r="C12" s="51">
        <v>14</v>
      </c>
      <c r="D12" s="51">
        <v>6</v>
      </c>
      <c r="E12" s="51">
        <v>18</v>
      </c>
      <c r="F12" s="51">
        <v>8</v>
      </c>
      <c r="G12" s="51">
        <v>608</v>
      </c>
      <c r="H12" s="51">
        <v>85</v>
      </c>
      <c r="I12" s="51">
        <v>1848</v>
      </c>
      <c r="J12" s="51">
        <v>181</v>
      </c>
      <c r="K12" s="51">
        <v>2452</v>
      </c>
      <c r="L12" s="51">
        <v>208</v>
      </c>
      <c r="M12" s="51">
        <v>4592</v>
      </c>
      <c r="N12" s="51">
        <v>321</v>
      </c>
      <c r="O12" s="51">
        <v>5778</v>
      </c>
      <c r="P12" s="51">
        <v>445</v>
      </c>
      <c r="Q12" s="51">
        <v>6523</v>
      </c>
      <c r="R12" s="51">
        <v>532</v>
      </c>
      <c r="S12" s="51">
        <v>7668</v>
      </c>
      <c r="T12" s="51">
        <v>693</v>
      </c>
      <c r="U12" s="51">
        <v>8646</v>
      </c>
      <c r="V12" s="51">
        <v>821</v>
      </c>
      <c r="W12" s="52">
        <v>0</v>
      </c>
      <c r="X12" s="52">
        <v>0</v>
      </c>
      <c r="Y12" s="52">
        <v>0</v>
      </c>
      <c r="Z12" s="52">
        <v>0</v>
      </c>
      <c r="AA12" s="52">
        <v>0</v>
      </c>
      <c r="AB12" s="52">
        <v>0</v>
      </c>
      <c r="AC12" s="52">
        <v>0</v>
      </c>
      <c r="AD12" s="52">
        <v>0</v>
      </c>
      <c r="AE12" s="52">
        <v>0</v>
      </c>
      <c r="AF12" s="52">
        <v>0</v>
      </c>
      <c r="AG12" s="52">
        <v>0</v>
      </c>
      <c r="AH12" s="52">
        <v>0</v>
      </c>
      <c r="AI12" s="52">
        <v>0</v>
      </c>
      <c r="AJ12" s="52">
        <v>0</v>
      </c>
      <c r="AK12" s="52">
        <v>0</v>
      </c>
      <c r="AL12" s="52">
        <v>0</v>
      </c>
      <c r="AM12" s="52">
        <v>0</v>
      </c>
      <c r="AN12" s="52">
        <v>0</v>
      </c>
      <c r="AO12" s="52">
        <v>0</v>
      </c>
      <c r="AP12" s="52">
        <v>0</v>
      </c>
      <c r="AQ12" s="52">
        <v>0</v>
      </c>
      <c r="AR12" s="52">
        <v>0</v>
      </c>
      <c r="AS12" s="52">
        <v>0</v>
      </c>
      <c r="AT12" s="52">
        <v>0</v>
      </c>
      <c r="AU12" s="52">
        <v>0</v>
      </c>
      <c r="AV12" s="52">
        <v>0</v>
      </c>
      <c r="AW12" s="52">
        <v>0</v>
      </c>
      <c r="AX12" s="52">
        <v>0</v>
      </c>
    </row>
    <row r="13" spans="1:50" x14ac:dyDescent="0.25">
      <c r="A13" s="2" t="s">
        <v>16</v>
      </c>
      <c r="B13" s="2" t="s">
        <v>17</v>
      </c>
      <c r="C13" s="51"/>
      <c r="D13" s="51"/>
      <c r="E13" s="51"/>
      <c r="F13" s="51"/>
      <c r="G13" s="51"/>
      <c r="H13" s="51"/>
      <c r="I13" s="51"/>
      <c r="J13" s="51"/>
      <c r="K13" s="51"/>
      <c r="L13" s="51"/>
      <c r="M13" s="51"/>
      <c r="N13" s="51"/>
      <c r="O13" s="51"/>
      <c r="P13" s="51"/>
      <c r="Q13" s="51"/>
      <c r="R13" s="51"/>
      <c r="S13" s="51"/>
      <c r="T13" s="51"/>
      <c r="U13" s="51"/>
      <c r="V13" s="51"/>
      <c r="W13" s="52">
        <v>0</v>
      </c>
      <c r="X13" s="52">
        <v>0</v>
      </c>
      <c r="Y13" s="52">
        <v>0</v>
      </c>
      <c r="Z13" s="52">
        <v>0</v>
      </c>
      <c r="AA13" s="52">
        <v>0</v>
      </c>
      <c r="AB13" s="52">
        <v>0</v>
      </c>
      <c r="AC13" s="52">
        <v>0</v>
      </c>
      <c r="AD13" s="52">
        <v>0</v>
      </c>
      <c r="AE13" s="52">
        <v>0</v>
      </c>
      <c r="AF13" s="52">
        <v>0</v>
      </c>
      <c r="AG13" s="52">
        <v>0</v>
      </c>
      <c r="AH13" s="52">
        <v>0</v>
      </c>
      <c r="AI13" s="52">
        <v>0</v>
      </c>
      <c r="AJ13" s="52">
        <v>0</v>
      </c>
      <c r="AK13" s="52">
        <v>0</v>
      </c>
      <c r="AL13" s="52">
        <v>0</v>
      </c>
      <c r="AM13" s="52">
        <v>0</v>
      </c>
      <c r="AN13" s="52">
        <v>0</v>
      </c>
      <c r="AO13" s="52">
        <v>0</v>
      </c>
      <c r="AP13" s="52">
        <v>0</v>
      </c>
      <c r="AQ13" s="52">
        <v>0</v>
      </c>
      <c r="AR13" s="52">
        <v>0</v>
      </c>
      <c r="AS13" s="52">
        <v>0</v>
      </c>
      <c r="AT13" s="52">
        <v>0</v>
      </c>
      <c r="AU13" s="52">
        <v>0</v>
      </c>
      <c r="AV13" s="52">
        <v>0</v>
      </c>
      <c r="AW13" s="52">
        <v>0</v>
      </c>
      <c r="AX13" s="52">
        <v>0</v>
      </c>
    </row>
    <row r="14" spans="1:50" x14ac:dyDescent="0.25">
      <c r="A14" s="2" t="s">
        <v>16</v>
      </c>
      <c r="B14" s="2" t="s">
        <v>18</v>
      </c>
      <c r="C14" s="51"/>
      <c r="D14" s="51"/>
      <c r="E14" s="51"/>
      <c r="F14" s="51"/>
      <c r="G14" s="51"/>
      <c r="H14" s="51"/>
      <c r="I14" s="51"/>
      <c r="J14" s="51"/>
      <c r="K14" s="51"/>
      <c r="L14" s="51"/>
      <c r="M14" s="51"/>
      <c r="N14" s="51"/>
      <c r="O14" s="51"/>
      <c r="P14" s="51"/>
      <c r="Q14" s="51"/>
      <c r="R14" s="51"/>
      <c r="S14" s="51">
        <v>6</v>
      </c>
      <c r="T14" s="51">
        <v>4</v>
      </c>
      <c r="U14" s="51">
        <v>10</v>
      </c>
      <c r="V14" s="51">
        <v>8</v>
      </c>
      <c r="W14" s="52">
        <v>0</v>
      </c>
      <c r="X14" s="52">
        <v>0</v>
      </c>
      <c r="Y14" s="52">
        <v>0</v>
      </c>
      <c r="Z14" s="52">
        <v>0</v>
      </c>
      <c r="AA14" s="52">
        <v>0</v>
      </c>
      <c r="AB14" s="52">
        <v>0</v>
      </c>
      <c r="AC14" s="52">
        <v>0</v>
      </c>
      <c r="AD14" s="52">
        <v>0</v>
      </c>
      <c r="AE14" s="52">
        <v>0</v>
      </c>
      <c r="AF14" s="52">
        <v>0</v>
      </c>
      <c r="AG14" s="52">
        <v>0</v>
      </c>
      <c r="AH14" s="52">
        <v>0</v>
      </c>
      <c r="AI14" s="52">
        <v>0</v>
      </c>
      <c r="AJ14" s="52">
        <v>0</v>
      </c>
      <c r="AK14" s="52">
        <v>0</v>
      </c>
      <c r="AL14" s="52">
        <v>0</v>
      </c>
      <c r="AM14" s="52">
        <v>0</v>
      </c>
      <c r="AN14" s="52">
        <v>0</v>
      </c>
      <c r="AO14" s="52">
        <v>0</v>
      </c>
      <c r="AP14" s="52">
        <v>0</v>
      </c>
      <c r="AQ14" s="52">
        <v>0</v>
      </c>
      <c r="AR14" s="52">
        <v>0</v>
      </c>
      <c r="AS14" s="52">
        <v>0</v>
      </c>
      <c r="AT14" s="52">
        <v>0</v>
      </c>
      <c r="AU14" s="52">
        <v>0</v>
      </c>
      <c r="AV14" s="52">
        <v>0</v>
      </c>
      <c r="AW14" s="52">
        <v>0</v>
      </c>
      <c r="AX14" s="52">
        <v>0</v>
      </c>
    </row>
    <row r="15" spans="1:50" x14ac:dyDescent="0.25">
      <c r="A15" s="2" t="s">
        <v>16</v>
      </c>
      <c r="B15" s="2" t="s">
        <v>19</v>
      </c>
      <c r="C15" s="51"/>
      <c r="D15" s="51"/>
      <c r="E15" s="51"/>
      <c r="F15" s="51"/>
      <c r="G15" s="51"/>
      <c r="H15" s="51"/>
      <c r="I15" s="51"/>
      <c r="J15" s="51"/>
      <c r="K15" s="51"/>
      <c r="L15" s="51"/>
      <c r="M15" s="51"/>
      <c r="N15" s="51"/>
      <c r="O15" s="51"/>
      <c r="P15" s="51"/>
      <c r="Q15" s="51"/>
      <c r="R15" s="51"/>
      <c r="S15" s="51"/>
      <c r="T15" s="51"/>
      <c r="U15" s="51"/>
      <c r="V15" s="51"/>
      <c r="W15" s="52">
        <v>0</v>
      </c>
      <c r="X15" s="52">
        <v>0</v>
      </c>
      <c r="Y15" s="52">
        <v>0</v>
      </c>
      <c r="Z15" s="52">
        <v>0</v>
      </c>
      <c r="AA15" s="52">
        <v>0</v>
      </c>
      <c r="AB15" s="52">
        <v>0</v>
      </c>
      <c r="AC15" s="52">
        <v>0</v>
      </c>
      <c r="AD15" s="52">
        <v>0</v>
      </c>
      <c r="AE15" s="52">
        <v>0</v>
      </c>
      <c r="AF15" s="52">
        <v>0</v>
      </c>
      <c r="AG15" s="52">
        <v>0</v>
      </c>
      <c r="AH15" s="52">
        <v>0</v>
      </c>
      <c r="AI15" s="52">
        <v>0</v>
      </c>
      <c r="AJ15" s="52">
        <v>0</v>
      </c>
      <c r="AK15" s="52">
        <v>0</v>
      </c>
      <c r="AL15" s="52">
        <v>0</v>
      </c>
      <c r="AM15" s="52">
        <v>0</v>
      </c>
      <c r="AN15" s="52">
        <v>0</v>
      </c>
      <c r="AO15" s="52">
        <v>0</v>
      </c>
      <c r="AP15" s="52">
        <v>0</v>
      </c>
      <c r="AQ15" s="52">
        <v>0</v>
      </c>
      <c r="AR15" s="52">
        <v>0</v>
      </c>
      <c r="AS15" s="52">
        <v>0</v>
      </c>
      <c r="AT15" s="52">
        <v>0</v>
      </c>
      <c r="AU15" s="52">
        <v>0</v>
      </c>
      <c r="AV15" s="52">
        <v>0</v>
      </c>
      <c r="AW15" s="52">
        <v>0</v>
      </c>
      <c r="AX15" s="52">
        <v>0</v>
      </c>
    </row>
    <row r="16" spans="1:50" x14ac:dyDescent="0.25">
      <c r="A16" s="2" t="s">
        <v>16</v>
      </c>
      <c r="B16" s="2" t="s">
        <v>20</v>
      </c>
      <c r="C16" s="51"/>
      <c r="D16" s="51"/>
      <c r="E16" s="51"/>
      <c r="F16" s="51"/>
      <c r="G16" s="51"/>
      <c r="H16" s="51"/>
      <c r="I16" s="51"/>
      <c r="J16" s="51"/>
      <c r="K16" s="51"/>
      <c r="L16" s="51"/>
      <c r="M16" s="51">
        <v>0</v>
      </c>
      <c r="N16" s="51">
        <v>1</v>
      </c>
      <c r="O16" s="51">
        <v>1</v>
      </c>
      <c r="P16" s="51">
        <v>4</v>
      </c>
      <c r="Q16" s="51">
        <v>1</v>
      </c>
      <c r="R16" s="51">
        <v>6</v>
      </c>
      <c r="S16" s="51">
        <v>1</v>
      </c>
      <c r="T16" s="51">
        <v>6</v>
      </c>
      <c r="U16" s="51">
        <v>1</v>
      </c>
      <c r="V16" s="51">
        <v>7</v>
      </c>
      <c r="W16" s="52">
        <v>0</v>
      </c>
      <c r="X16" s="52">
        <v>0</v>
      </c>
      <c r="Y16" s="52">
        <v>0</v>
      </c>
      <c r="Z16" s="52">
        <v>0</v>
      </c>
      <c r="AA16" s="52">
        <v>0</v>
      </c>
      <c r="AB16" s="52">
        <v>0</v>
      </c>
      <c r="AC16" s="52">
        <v>0</v>
      </c>
      <c r="AD16" s="52">
        <v>0</v>
      </c>
      <c r="AE16" s="52">
        <v>0</v>
      </c>
      <c r="AF16" s="52">
        <v>0</v>
      </c>
      <c r="AG16" s="52">
        <v>0</v>
      </c>
      <c r="AH16" s="52">
        <v>0</v>
      </c>
      <c r="AI16" s="52">
        <v>0</v>
      </c>
      <c r="AJ16" s="52">
        <v>0</v>
      </c>
      <c r="AK16" s="52">
        <v>0</v>
      </c>
      <c r="AL16" s="52">
        <v>0</v>
      </c>
      <c r="AM16" s="52">
        <v>0</v>
      </c>
      <c r="AN16" s="52">
        <v>0</v>
      </c>
      <c r="AO16" s="52">
        <v>0</v>
      </c>
      <c r="AP16" s="52">
        <v>0</v>
      </c>
      <c r="AQ16" s="52">
        <v>0</v>
      </c>
      <c r="AR16" s="52">
        <v>0</v>
      </c>
      <c r="AS16" s="52">
        <v>0</v>
      </c>
      <c r="AT16" s="52">
        <v>0</v>
      </c>
      <c r="AU16" s="52">
        <v>0</v>
      </c>
      <c r="AV16" s="52">
        <v>0</v>
      </c>
      <c r="AW16" s="52">
        <v>0</v>
      </c>
      <c r="AX16" s="52">
        <v>0</v>
      </c>
    </row>
    <row r="17" spans="1:50" x14ac:dyDescent="0.25">
      <c r="A17" s="2" t="s">
        <v>16</v>
      </c>
      <c r="B17" s="2" t="s">
        <v>21</v>
      </c>
      <c r="C17" s="51"/>
      <c r="D17" s="51"/>
      <c r="E17" s="51"/>
      <c r="F17" s="51"/>
      <c r="G17" s="51"/>
      <c r="H17" s="51"/>
      <c r="I17" s="51"/>
      <c r="J17" s="51"/>
      <c r="K17" s="51"/>
      <c r="L17" s="51"/>
      <c r="M17" s="51"/>
      <c r="N17" s="51"/>
      <c r="O17" s="51">
        <v>59</v>
      </c>
      <c r="P17" s="51">
        <v>4</v>
      </c>
      <c r="Q17" s="51">
        <v>109</v>
      </c>
      <c r="R17" s="51">
        <v>6</v>
      </c>
      <c r="S17" s="51">
        <v>215</v>
      </c>
      <c r="T17" s="51">
        <v>11</v>
      </c>
      <c r="U17" s="51">
        <v>727</v>
      </c>
      <c r="V17" s="51">
        <v>35</v>
      </c>
      <c r="W17" s="52">
        <v>0</v>
      </c>
      <c r="X17" s="52">
        <v>0</v>
      </c>
      <c r="Y17" s="52">
        <v>0</v>
      </c>
      <c r="Z17" s="52">
        <v>0</v>
      </c>
      <c r="AA17" s="52">
        <v>0</v>
      </c>
      <c r="AB17" s="52">
        <v>0</v>
      </c>
      <c r="AC17" s="52">
        <v>0</v>
      </c>
      <c r="AD17" s="52">
        <v>0</v>
      </c>
      <c r="AE17" s="52">
        <v>0</v>
      </c>
      <c r="AF17" s="52">
        <v>0</v>
      </c>
      <c r="AG17" s="52">
        <v>0</v>
      </c>
      <c r="AH17" s="52">
        <v>0</v>
      </c>
      <c r="AI17" s="52">
        <v>0</v>
      </c>
      <c r="AJ17" s="52">
        <v>0</v>
      </c>
      <c r="AK17" s="52">
        <v>0</v>
      </c>
      <c r="AL17" s="52">
        <v>0</v>
      </c>
      <c r="AM17" s="52">
        <v>0</v>
      </c>
      <c r="AN17" s="52">
        <v>0</v>
      </c>
      <c r="AO17" s="52">
        <v>0</v>
      </c>
      <c r="AP17" s="52">
        <v>0</v>
      </c>
      <c r="AQ17" s="52">
        <v>0</v>
      </c>
      <c r="AR17" s="52">
        <v>0</v>
      </c>
      <c r="AS17" s="52">
        <v>0</v>
      </c>
      <c r="AT17" s="52">
        <v>0</v>
      </c>
      <c r="AU17" s="52">
        <v>0</v>
      </c>
      <c r="AV17" s="52">
        <v>0</v>
      </c>
      <c r="AW17" s="52">
        <v>0</v>
      </c>
      <c r="AX17" s="52">
        <v>0</v>
      </c>
    </row>
    <row r="18" spans="1:50" x14ac:dyDescent="0.25">
      <c r="A18" s="2" t="s">
        <v>16</v>
      </c>
      <c r="B18" s="2" t="s">
        <v>128</v>
      </c>
      <c r="C18" s="51">
        <v>0</v>
      </c>
      <c r="D18" s="51">
        <v>1</v>
      </c>
      <c r="E18" s="51">
        <v>7</v>
      </c>
      <c r="F18" s="51">
        <v>1</v>
      </c>
      <c r="G18" s="51">
        <v>13</v>
      </c>
      <c r="H18" s="51">
        <v>3</v>
      </c>
      <c r="I18" s="51">
        <v>69</v>
      </c>
      <c r="J18" s="51">
        <v>5</v>
      </c>
      <c r="K18" s="51">
        <v>375</v>
      </c>
      <c r="L18" s="51">
        <v>24</v>
      </c>
      <c r="M18" s="51">
        <v>862</v>
      </c>
      <c r="N18" s="51">
        <v>33</v>
      </c>
      <c r="O18" s="51">
        <v>1059</v>
      </c>
      <c r="P18" s="51">
        <v>46</v>
      </c>
      <c r="Q18" s="51">
        <v>1288</v>
      </c>
      <c r="R18" s="51">
        <v>54</v>
      </c>
      <c r="S18" s="51">
        <v>1599</v>
      </c>
      <c r="T18" s="51">
        <v>65</v>
      </c>
      <c r="U18" s="51">
        <v>1992</v>
      </c>
      <c r="V18" s="51">
        <v>78</v>
      </c>
      <c r="W18" s="52">
        <v>0</v>
      </c>
      <c r="X18" s="52">
        <v>0</v>
      </c>
      <c r="Y18" s="52">
        <v>0</v>
      </c>
      <c r="Z18" s="52">
        <v>0</v>
      </c>
      <c r="AA18" s="52">
        <v>0</v>
      </c>
      <c r="AB18" s="52">
        <v>0</v>
      </c>
      <c r="AC18" s="52">
        <v>0</v>
      </c>
      <c r="AD18" s="52">
        <v>0</v>
      </c>
      <c r="AE18" s="52">
        <v>0</v>
      </c>
      <c r="AF18" s="52">
        <v>0</v>
      </c>
      <c r="AG18" s="52">
        <v>0</v>
      </c>
      <c r="AH18" s="52">
        <v>0</v>
      </c>
      <c r="AI18" s="52">
        <v>0</v>
      </c>
      <c r="AJ18" s="52">
        <v>0</v>
      </c>
      <c r="AK18" s="52">
        <v>0</v>
      </c>
      <c r="AL18" s="52">
        <v>0</v>
      </c>
      <c r="AM18" s="52">
        <v>0</v>
      </c>
      <c r="AN18" s="52">
        <v>0</v>
      </c>
      <c r="AO18" s="52">
        <v>0</v>
      </c>
      <c r="AP18" s="52">
        <v>0</v>
      </c>
      <c r="AQ18" s="52">
        <v>0</v>
      </c>
      <c r="AR18" s="52">
        <v>0</v>
      </c>
      <c r="AS18" s="52">
        <v>0</v>
      </c>
      <c r="AT18" s="52">
        <v>0</v>
      </c>
      <c r="AU18" s="52">
        <v>0</v>
      </c>
      <c r="AV18" s="52">
        <v>0</v>
      </c>
      <c r="AW18" s="52">
        <v>0</v>
      </c>
      <c r="AX18" s="52">
        <v>0</v>
      </c>
    </row>
    <row r="19" spans="1:50" x14ac:dyDescent="0.25">
      <c r="A19" s="2" t="s">
        <v>16</v>
      </c>
      <c r="B19" s="2" t="s">
        <v>22</v>
      </c>
      <c r="C19" s="51"/>
      <c r="D19" s="51"/>
      <c r="E19" s="51"/>
      <c r="F19" s="51"/>
      <c r="G19" s="51"/>
      <c r="H19" s="51"/>
      <c r="I19" s="51"/>
      <c r="J19" s="51"/>
      <c r="K19" s="51"/>
      <c r="L19" s="51"/>
      <c r="M19" s="51"/>
      <c r="N19" s="51"/>
      <c r="O19" s="51"/>
      <c r="P19" s="51"/>
      <c r="Q19" s="51"/>
      <c r="R19" s="51"/>
      <c r="S19" s="51"/>
      <c r="T19" s="51"/>
      <c r="U19" s="51"/>
      <c r="V19" s="51"/>
      <c r="W19" s="52">
        <v>0</v>
      </c>
      <c r="X19" s="52">
        <v>0</v>
      </c>
      <c r="Y19" s="52">
        <v>0</v>
      </c>
      <c r="Z19" s="52">
        <v>0</v>
      </c>
      <c r="AA19" s="52">
        <v>0</v>
      </c>
      <c r="AB19" s="52">
        <v>0</v>
      </c>
      <c r="AC19" s="52">
        <v>0</v>
      </c>
      <c r="AD19" s="52">
        <v>0</v>
      </c>
      <c r="AE19" s="52">
        <v>0</v>
      </c>
      <c r="AF19" s="52">
        <v>0</v>
      </c>
      <c r="AG19" s="52">
        <v>0</v>
      </c>
      <c r="AH19" s="52">
        <v>0</v>
      </c>
      <c r="AI19" s="52">
        <v>0</v>
      </c>
      <c r="AJ19" s="52">
        <v>0</v>
      </c>
      <c r="AK19" s="52">
        <v>0</v>
      </c>
      <c r="AL19" s="52">
        <v>0</v>
      </c>
      <c r="AM19" s="52">
        <v>0</v>
      </c>
      <c r="AN19" s="52">
        <v>0</v>
      </c>
      <c r="AO19" s="52">
        <v>0</v>
      </c>
      <c r="AP19" s="52">
        <v>0</v>
      </c>
      <c r="AQ19" s="52">
        <v>0</v>
      </c>
      <c r="AR19" s="52">
        <v>0</v>
      </c>
      <c r="AS19" s="52">
        <v>0</v>
      </c>
      <c r="AT19" s="52">
        <v>0</v>
      </c>
      <c r="AU19" s="52">
        <v>0</v>
      </c>
      <c r="AV19" s="52">
        <v>0</v>
      </c>
      <c r="AW19" s="52">
        <v>0</v>
      </c>
      <c r="AX19" s="52">
        <v>0</v>
      </c>
    </row>
    <row r="20" spans="1:50" x14ac:dyDescent="0.25">
      <c r="A20" s="2" t="s">
        <v>16</v>
      </c>
      <c r="B20" s="2" t="s">
        <v>23</v>
      </c>
      <c r="C20" s="51"/>
      <c r="D20" s="51"/>
      <c r="E20" s="51"/>
      <c r="F20" s="51"/>
      <c r="G20" s="51"/>
      <c r="H20" s="51"/>
      <c r="I20" s="51"/>
      <c r="J20" s="51"/>
      <c r="K20" s="51">
        <v>174</v>
      </c>
      <c r="L20" s="51">
        <v>4</v>
      </c>
      <c r="M20" s="51">
        <v>346</v>
      </c>
      <c r="N20" s="51">
        <v>7</v>
      </c>
      <c r="O20" s="51">
        <v>493</v>
      </c>
      <c r="P20" s="51">
        <v>16</v>
      </c>
      <c r="Q20" s="51">
        <v>784</v>
      </c>
      <c r="R20" s="51">
        <v>27</v>
      </c>
      <c r="S20" s="51">
        <v>1489</v>
      </c>
      <c r="T20" s="51">
        <v>76</v>
      </c>
      <c r="U20" s="51">
        <v>2190</v>
      </c>
      <c r="V20" s="51">
        <v>127</v>
      </c>
      <c r="W20" s="52">
        <v>0</v>
      </c>
      <c r="X20" s="52">
        <v>0</v>
      </c>
      <c r="Y20" s="52">
        <v>0</v>
      </c>
      <c r="Z20" s="52">
        <v>0</v>
      </c>
      <c r="AA20" s="52">
        <v>0</v>
      </c>
      <c r="AB20" s="52">
        <v>0</v>
      </c>
      <c r="AC20" s="52">
        <v>0</v>
      </c>
      <c r="AD20" s="52">
        <v>0</v>
      </c>
      <c r="AE20" s="52">
        <v>0</v>
      </c>
      <c r="AF20" s="52">
        <v>0</v>
      </c>
      <c r="AG20" s="52">
        <v>0</v>
      </c>
      <c r="AH20" s="52">
        <v>0</v>
      </c>
      <c r="AI20" s="52">
        <v>0</v>
      </c>
      <c r="AJ20" s="52">
        <v>0</v>
      </c>
      <c r="AK20" s="52">
        <v>0</v>
      </c>
      <c r="AL20" s="52">
        <v>0</v>
      </c>
      <c r="AM20" s="52">
        <v>0</v>
      </c>
      <c r="AN20" s="52">
        <v>0</v>
      </c>
      <c r="AO20" s="52">
        <v>0</v>
      </c>
      <c r="AP20" s="52">
        <v>0</v>
      </c>
      <c r="AQ20" s="52">
        <v>0</v>
      </c>
      <c r="AR20" s="52">
        <v>0</v>
      </c>
      <c r="AS20" s="52">
        <v>0</v>
      </c>
      <c r="AT20" s="52">
        <v>0</v>
      </c>
      <c r="AU20" s="52">
        <v>0</v>
      </c>
      <c r="AV20" s="52">
        <v>0</v>
      </c>
      <c r="AW20" s="52">
        <v>0</v>
      </c>
      <c r="AX20" s="52">
        <v>0</v>
      </c>
    </row>
    <row r="21" spans="1:50" x14ac:dyDescent="0.25">
      <c r="A21" s="2" t="s">
        <v>16</v>
      </c>
      <c r="B21" s="2" t="s">
        <v>24</v>
      </c>
      <c r="C21" s="51">
        <v>4</v>
      </c>
      <c r="D21" s="51">
        <v>0</v>
      </c>
      <c r="E21" s="51">
        <v>4</v>
      </c>
      <c r="F21" s="51">
        <v>1</v>
      </c>
      <c r="G21" s="51">
        <v>9</v>
      </c>
      <c r="H21" s="51">
        <v>1</v>
      </c>
      <c r="I21" s="51">
        <v>81</v>
      </c>
      <c r="J21" s="51">
        <v>7</v>
      </c>
      <c r="K21" s="51">
        <v>175</v>
      </c>
      <c r="L21" s="51">
        <v>52</v>
      </c>
      <c r="M21" s="51">
        <v>464</v>
      </c>
      <c r="N21" s="51">
        <v>152</v>
      </c>
      <c r="O21" s="51">
        <v>755</v>
      </c>
      <c r="P21" s="51">
        <v>271</v>
      </c>
      <c r="Q21" s="51">
        <v>887</v>
      </c>
      <c r="R21" s="51">
        <v>330</v>
      </c>
      <c r="S21" s="51">
        <v>1125</v>
      </c>
      <c r="T21" s="51">
        <v>456</v>
      </c>
      <c r="U21" s="51">
        <v>1386</v>
      </c>
      <c r="V21" s="51">
        <v>586</v>
      </c>
      <c r="W21" s="52">
        <v>0</v>
      </c>
      <c r="X21" s="52">
        <v>0</v>
      </c>
      <c r="Y21" s="52">
        <v>0</v>
      </c>
      <c r="Z21" s="52">
        <v>0</v>
      </c>
      <c r="AA21" s="52">
        <v>0</v>
      </c>
      <c r="AB21" s="52">
        <v>0</v>
      </c>
      <c r="AC21" s="52">
        <v>0</v>
      </c>
      <c r="AD21" s="52">
        <v>0</v>
      </c>
      <c r="AE21" s="52">
        <v>0</v>
      </c>
      <c r="AF21" s="52">
        <v>0</v>
      </c>
      <c r="AG21" s="52">
        <v>0</v>
      </c>
      <c r="AH21" s="52">
        <v>0</v>
      </c>
      <c r="AI21" s="52">
        <v>0</v>
      </c>
      <c r="AJ21" s="52">
        <v>0</v>
      </c>
      <c r="AK21" s="52">
        <v>0</v>
      </c>
      <c r="AL21" s="52">
        <v>0</v>
      </c>
      <c r="AM21" s="52">
        <v>0</v>
      </c>
      <c r="AN21" s="52">
        <v>0</v>
      </c>
      <c r="AO21" s="52">
        <v>0</v>
      </c>
      <c r="AP21" s="52">
        <v>0</v>
      </c>
      <c r="AQ21" s="52">
        <v>0</v>
      </c>
      <c r="AR21" s="52">
        <v>0</v>
      </c>
      <c r="AS21" s="52">
        <v>0</v>
      </c>
      <c r="AT21" s="52">
        <v>0</v>
      </c>
      <c r="AU21" s="52">
        <v>0</v>
      </c>
      <c r="AV21" s="52">
        <v>0</v>
      </c>
      <c r="AW21" s="52">
        <v>0</v>
      </c>
      <c r="AX21" s="52">
        <v>0</v>
      </c>
    </row>
    <row r="22" spans="1:50" x14ac:dyDescent="0.25">
      <c r="A22" s="2" t="s">
        <v>16</v>
      </c>
      <c r="B22" s="2" t="s">
        <v>25</v>
      </c>
      <c r="C22" s="51"/>
      <c r="D22" s="51"/>
      <c r="E22" s="51"/>
      <c r="F22" s="51"/>
      <c r="G22" s="51"/>
      <c r="H22" s="51"/>
      <c r="I22" s="51"/>
      <c r="J22" s="51"/>
      <c r="K22" s="51"/>
      <c r="L22" s="51"/>
      <c r="M22" s="51"/>
      <c r="N22" s="51"/>
      <c r="O22" s="51"/>
      <c r="P22" s="51"/>
      <c r="Q22" s="51"/>
      <c r="R22" s="51"/>
      <c r="S22" s="51"/>
      <c r="T22" s="51"/>
      <c r="U22" s="51"/>
      <c r="V22" s="51"/>
      <c r="W22" s="52">
        <v>0</v>
      </c>
      <c r="X22" s="52">
        <v>0</v>
      </c>
      <c r="Y22" s="52">
        <v>0</v>
      </c>
      <c r="Z22" s="52">
        <v>0</v>
      </c>
      <c r="AA22" s="52">
        <v>0</v>
      </c>
      <c r="AB22" s="52">
        <v>0</v>
      </c>
      <c r="AC22" s="52">
        <v>0</v>
      </c>
      <c r="AD22" s="52">
        <v>0</v>
      </c>
      <c r="AE22" s="52">
        <v>0</v>
      </c>
      <c r="AF22" s="52">
        <v>0</v>
      </c>
      <c r="AG22" s="52">
        <v>0</v>
      </c>
      <c r="AH22" s="52">
        <v>0</v>
      </c>
      <c r="AI22" s="52">
        <v>0</v>
      </c>
      <c r="AJ22" s="52">
        <v>0</v>
      </c>
      <c r="AK22" s="52">
        <v>0</v>
      </c>
      <c r="AL22" s="52">
        <v>0</v>
      </c>
      <c r="AM22" s="52">
        <v>0</v>
      </c>
      <c r="AN22" s="52">
        <v>0</v>
      </c>
      <c r="AO22" s="52">
        <v>0</v>
      </c>
      <c r="AP22" s="52">
        <v>0</v>
      </c>
      <c r="AQ22" s="52">
        <v>0</v>
      </c>
      <c r="AR22" s="52">
        <v>0</v>
      </c>
      <c r="AS22" s="52">
        <v>0</v>
      </c>
      <c r="AT22" s="52">
        <v>0</v>
      </c>
      <c r="AU22" s="52">
        <v>0</v>
      </c>
      <c r="AV22" s="52">
        <v>0</v>
      </c>
      <c r="AW22" s="52">
        <v>0</v>
      </c>
      <c r="AX22" s="52">
        <v>0</v>
      </c>
    </row>
    <row r="23" spans="1:50" x14ac:dyDescent="0.25">
      <c r="A23" s="2" t="s">
        <v>16</v>
      </c>
      <c r="B23" s="2" t="s">
        <v>26</v>
      </c>
      <c r="C23" s="51"/>
      <c r="D23" s="51"/>
      <c r="E23" s="51"/>
      <c r="F23" s="51"/>
      <c r="G23" s="51"/>
      <c r="H23" s="51"/>
      <c r="I23" s="51"/>
      <c r="J23" s="51"/>
      <c r="K23" s="51"/>
      <c r="L23" s="51"/>
      <c r="M23" s="51"/>
      <c r="N23" s="51"/>
      <c r="O23" s="51"/>
      <c r="P23" s="51"/>
      <c r="Q23" s="51"/>
      <c r="R23" s="51"/>
      <c r="S23" s="51"/>
      <c r="T23" s="51"/>
      <c r="U23" s="51"/>
      <c r="V23" s="51"/>
      <c r="W23" s="52">
        <v>0</v>
      </c>
      <c r="X23" s="52">
        <v>0</v>
      </c>
      <c r="Y23" s="52">
        <v>0</v>
      </c>
      <c r="Z23" s="52">
        <v>0</v>
      </c>
      <c r="AA23" s="52">
        <v>0</v>
      </c>
      <c r="AB23" s="52">
        <v>0</v>
      </c>
      <c r="AC23" s="52">
        <v>0</v>
      </c>
      <c r="AD23" s="52">
        <v>0</v>
      </c>
      <c r="AE23" s="52">
        <v>0</v>
      </c>
      <c r="AF23" s="52">
        <v>0</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52">
        <v>0</v>
      </c>
      <c r="AW23" s="52">
        <v>0</v>
      </c>
      <c r="AX23" s="52">
        <v>0</v>
      </c>
    </row>
    <row r="24" spans="1:50" x14ac:dyDescent="0.25">
      <c r="A24" s="2" t="s">
        <v>16</v>
      </c>
      <c r="B24" s="2" t="s">
        <v>27</v>
      </c>
      <c r="C24" s="51"/>
      <c r="D24" s="51"/>
      <c r="E24" s="51">
        <v>1</v>
      </c>
      <c r="F24" s="51">
        <v>1</v>
      </c>
      <c r="G24" s="51">
        <v>3</v>
      </c>
      <c r="H24" s="51">
        <v>4</v>
      </c>
      <c r="I24" s="51">
        <v>500</v>
      </c>
      <c r="J24" s="51">
        <v>49</v>
      </c>
      <c r="K24" s="51">
        <v>550</v>
      </c>
      <c r="L24" s="51">
        <v>55</v>
      </c>
      <c r="M24" s="51">
        <v>915</v>
      </c>
      <c r="N24" s="51">
        <v>92</v>
      </c>
      <c r="O24" s="51">
        <v>1639</v>
      </c>
      <c r="P24" s="51">
        <v>121</v>
      </c>
      <c r="Q24" s="51">
        <v>2139</v>
      </c>
      <c r="R24" s="51">
        <v>139</v>
      </c>
      <c r="S24" s="51">
        <v>2920</v>
      </c>
      <c r="T24" s="51">
        <v>157</v>
      </c>
      <c r="U24" s="51">
        <v>3433</v>
      </c>
      <c r="V24" s="51">
        <v>185</v>
      </c>
      <c r="W24" s="52">
        <v>0</v>
      </c>
      <c r="X24" s="52">
        <v>0</v>
      </c>
      <c r="Y24" s="52">
        <v>0</v>
      </c>
      <c r="Z24" s="52">
        <v>0</v>
      </c>
      <c r="AA24" s="52">
        <v>0</v>
      </c>
      <c r="AB24" s="52">
        <v>0</v>
      </c>
      <c r="AC24" s="52">
        <v>0</v>
      </c>
      <c r="AD24" s="52">
        <v>0</v>
      </c>
      <c r="AE24" s="52">
        <v>0</v>
      </c>
      <c r="AF24" s="52">
        <v>0</v>
      </c>
      <c r="AG24" s="52">
        <v>0</v>
      </c>
      <c r="AH24" s="52">
        <v>0</v>
      </c>
      <c r="AI24" s="52">
        <v>0</v>
      </c>
      <c r="AJ24" s="52">
        <v>0</v>
      </c>
      <c r="AK24" s="52">
        <v>0</v>
      </c>
      <c r="AL24" s="52">
        <v>0</v>
      </c>
      <c r="AM24" s="52">
        <v>0</v>
      </c>
      <c r="AN24" s="52">
        <v>0</v>
      </c>
      <c r="AO24" s="52">
        <v>0</v>
      </c>
      <c r="AP24" s="52">
        <v>0</v>
      </c>
      <c r="AQ24" s="52">
        <v>0</v>
      </c>
      <c r="AR24" s="52">
        <v>0</v>
      </c>
      <c r="AS24" s="52">
        <v>0</v>
      </c>
      <c r="AT24" s="52">
        <v>0</v>
      </c>
      <c r="AU24" s="52">
        <v>0</v>
      </c>
      <c r="AV24" s="52">
        <v>0</v>
      </c>
      <c r="AW24" s="52">
        <v>0</v>
      </c>
      <c r="AX24" s="52">
        <v>0</v>
      </c>
    </row>
    <row r="25" spans="1:50" x14ac:dyDescent="0.25">
      <c r="A25" s="2" t="s">
        <v>16</v>
      </c>
      <c r="B25" s="2" t="s">
        <v>28</v>
      </c>
      <c r="C25" s="51"/>
      <c r="D25" s="51"/>
      <c r="E25" s="51"/>
      <c r="F25" s="51"/>
      <c r="G25" s="51"/>
      <c r="H25" s="51"/>
      <c r="I25" s="51"/>
      <c r="J25" s="51"/>
      <c r="K25" s="51"/>
      <c r="L25" s="51"/>
      <c r="M25" s="51"/>
      <c r="N25" s="51"/>
      <c r="O25" s="51">
        <v>572</v>
      </c>
      <c r="P25" s="51">
        <v>0</v>
      </c>
      <c r="Q25" s="51">
        <v>886</v>
      </c>
      <c r="R25" s="51">
        <v>1</v>
      </c>
      <c r="S25" s="51">
        <v>1248</v>
      </c>
      <c r="T25" s="51">
        <v>1</v>
      </c>
      <c r="U25" s="51">
        <v>1485</v>
      </c>
      <c r="V25" s="51">
        <v>1</v>
      </c>
      <c r="W25" s="52">
        <v>0</v>
      </c>
      <c r="X25" s="52">
        <v>0</v>
      </c>
      <c r="Y25" s="52">
        <v>0</v>
      </c>
      <c r="Z25" s="52">
        <v>0</v>
      </c>
      <c r="AA25" s="52">
        <v>0</v>
      </c>
      <c r="AB25" s="52">
        <v>0</v>
      </c>
      <c r="AC25" s="52">
        <v>0</v>
      </c>
      <c r="AD25" s="52">
        <v>0</v>
      </c>
      <c r="AE25" s="52">
        <v>0</v>
      </c>
      <c r="AF25" s="52">
        <v>0</v>
      </c>
      <c r="AG25" s="52">
        <v>0</v>
      </c>
      <c r="AH25" s="52">
        <v>0</v>
      </c>
      <c r="AI25" s="52">
        <v>0</v>
      </c>
      <c r="AJ25" s="52">
        <v>0</v>
      </c>
      <c r="AK25" s="52">
        <v>0</v>
      </c>
      <c r="AL25" s="52">
        <v>0</v>
      </c>
      <c r="AM25" s="52">
        <v>0</v>
      </c>
      <c r="AN25" s="52">
        <v>0</v>
      </c>
      <c r="AO25" s="52">
        <v>0</v>
      </c>
      <c r="AP25" s="52">
        <v>0</v>
      </c>
      <c r="AQ25" s="52">
        <v>0</v>
      </c>
      <c r="AR25" s="52">
        <v>0</v>
      </c>
      <c r="AS25" s="52">
        <v>0</v>
      </c>
      <c r="AT25" s="52">
        <v>0</v>
      </c>
      <c r="AU25" s="52">
        <v>0</v>
      </c>
      <c r="AV25" s="52">
        <v>0</v>
      </c>
      <c r="AW25" s="52">
        <v>0</v>
      </c>
      <c r="AX25" s="52">
        <v>0</v>
      </c>
    </row>
    <row r="26" spans="1:50" s="50" customFormat="1" x14ac:dyDescent="0.25">
      <c r="A26" s="15" t="s">
        <v>16</v>
      </c>
      <c r="B26" s="16" t="s">
        <v>29</v>
      </c>
      <c r="C26" s="53"/>
      <c r="D26" s="53"/>
      <c r="E26" s="53">
        <v>35</v>
      </c>
      <c r="F26" s="53">
        <v>11</v>
      </c>
      <c r="G26" s="53">
        <v>336</v>
      </c>
      <c r="H26" s="53">
        <v>22</v>
      </c>
      <c r="I26" s="53">
        <v>864</v>
      </c>
      <c r="J26" s="53">
        <v>39</v>
      </c>
      <c r="K26" s="53">
        <v>3289</v>
      </c>
      <c r="L26" s="53">
        <v>56</v>
      </c>
      <c r="M26" s="53">
        <v>4737</v>
      </c>
      <c r="N26" s="53">
        <v>67</v>
      </c>
      <c r="O26" s="53">
        <v>5464</v>
      </c>
      <c r="P26" s="53">
        <v>72</v>
      </c>
      <c r="Q26" s="53">
        <v>5768</v>
      </c>
      <c r="R26" s="53">
        <v>77</v>
      </c>
      <c r="S26" s="53">
        <v>6471</v>
      </c>
      <c r="T26" s="53">
        <v>90</v>
      </c>
      <c r="U26" s="53">
        <v>7253</v>
      </c>
      <c r="V26" s="53">
        <v>95</v>
      </c>
      <c r="W26" s="54">
        <v>0</v>
      </c>
      <c r="X26" s="54">
        <v>0</v>
      </c>
      <c r="Y26" s="54">
        <v>0</v>
      </c>
      <c r="Z26" s="54">
        <v>0</v>
      </c>
      <c r="AA26" s="54">
        <v>0</v>
      </c>
      <c r="AB26" s="54">
        <v>0</v>
      </c>
      <c r="AC26" s="54">
        <v>0</v>
      </c>
      <c r="AD26" s="54">
        <v>0</v>
      </c>
      <c r="AE26" s="54">
        <v>0</v>
      </c>
      <c r="AF26" s="54">
        <v>0</v>
      </c>
      <c r="AG26" s="54">
        <v>0</v>
      </c>
      <c r="AH26" s="54">
        <v>0</v>
      </c>
      <c r="AI26" s="54">
        <v>0</v>
      </c>
      <c r="AJ26" s="54">
        <v>0</v>
      </c>
      <c r="AK26" s="54">
        <v>0</v>
      </c>
      <c r="AL26" s="54">
        <v>0</v>
      </c>
      <c r="AM26" s="54">
        <v>0</v>
      </c>
      <c r="AN26" s="54">
        <v>0</v>
      </c>
      <c r="AO26" s="54">
        <v>0</v>
      </c>
      <c r="AP26" s="54">
        <v>0</v>
      </c>
      <c r="AQ26" s="54">
        <v>0</v>
      </c>
      <c r="AR26" s="54">
        <v>0</v>
      </c>
      <c r="AS26" s="54">
        <v>0</v>
      </c>
      <c r="AT26" s="54">
        <v>0</v>
      </c>
      <c r="AU26" s="54">
        <v>0</v>
      </c>
      <c r="AV26" s="54">
        <v>0</v>
      </c>
      <c r="AW26" s="54">
        <v>0</v>
      </c>
      <c r="AX26" s="54">
        <v>0</v>
      </c>
    </row>
    <row r="27" spans="1:50" x14ac:dyDescent="0.25">
      <c r="A27" s="2" t="s">
        <v>30</v>
      </c>
      <c r="B27" s="2" t="s">
        <v>31</v>
      </c>
      <c r="W27" s="57">
        <v>0</v>
      </c>
      <c r="X27" s="57">
        <v>0</v>
      </c>
      <c r="Y27" s="57">
        <v>0</v>
      </c>
      <c r="Z27" s="57">
        <v>0</v>
      </c>
      <c r="AA27" s="57">
        <v>0</v>
      </c>
      <c r="AB27" s="57">
        <v>0</v>
      </c>
      <c r="AC27" s="57">
        <v>0</v>
      </c>
      <c r="AD27" s="57">
        <v>0</v>
      </c>
      <c r="AE27" s="57">
        <v>0</v>
      </c>
      <c r="AF27" s="57">
        <v>0</v>
      </c>
      <c r="AG27" s="57">
        <v>0</v>
      </c>
      <c r="AH27" s="57">
        <v>0</v>
      </c>
      <c r="AI27" s="57">
        <v>0</v>
      </c>
      <c r="AJ27" s="57">
        <v>0</v>
      </c>
      <c r="AK27" s="57">
        <v>0</v>
      </c>
      <c r="AL27" s="57">
        <v>0</v>
      </c>
      <c r="AM27" s="57">
        <v>0</v>
      </c>
      <c r="AN27" s="57">
        <v>0</v>
      </c>
      <c r="AO27" s="57">
        <v>0</v>
      </c>
      <c r="AP27" s="57">
        <v>0</v>
      </c>
      <c r="AQ27" s="57">
        <v>0</v>
      </c>
      <c r="AR27" s="57">
        <v>0</v>
      </c>
      <c r="AW27" s="56">
        <v>112</v>
      </c>
      <c r="AX27" s="56">
        <v>13</v>
      </c>
    </row>
    <row r="28" spans="1:50" x14ac:dyDescent="0.25">
      <c r="A28" s="2" t="s">
        <v>30</v>
      </c>
      <c r="B28" s="2" t="s">
        <v>32</v>
      </c>
      <c r="W28" s="52">
        <v>0</v>
      </c>
      <c r="X28" s="52">
        <v>0</v>
      </c>
      <c r="Y28" s="52">
        <v>0</v>
      </c>
      <c r="Z28" s="52">
        <v>0</v>
      </c>
      <c r="AA28" s="52">
        <v>0</v>
      </c>
      <c r="AB28" s="52">
        <v>0</v>
      </c>
      <c r="AC28" s="52">
        <v>0</v>
      </c>
      <c r="AD28" s="52">
        <v>0</v>
      </c>
      <c r="AE28" s="52">
        <v>0</v>
      </c>
      <c r="AF28" s="52">
        <v>0</v>
      </c>
      <c r="AG28" s="52">
        <v>0</v>
      </c>
      <c r="AH28" s="52">
        <v>0</v>
      </c>
      <c r="AI28" s="52">
        <v>0</v>
      </c>
      <c r="AJ28" s="52">
        <v>0</v>
      </c>
      <c r="AK28" s="52">
        <v>0</v>
      </c>
      <c r="AL28" s="52">
        <v>0</v>
      </c>
      <c r="AM28" s="52">
        <v>0</v>
      </c>
      <c r="AN28" s="52">
        <v>0</v>
      </c>
      <c r="AO28" s="52">
        <v>0</v>
      </c>
      <c r="AP28" s="52">
        <v>0</v>
      </c>
      <c r="AQ28" s="52">
        <v>0</v>
      </c>
      <c r="AR28" s="52">
        <v>0</v>
      </c>
    </row>
    <row r="29" spans="1:50" x14ac:dyDescent="0.25">
      <c r="A29" s="2" t="s">
        <v>30</v>
      </c>
      <c r="B29" s="2" t="s">
        <v>33</v>
      </c>
      <c r="U29" s="55">
        <v>1</v>
      </c>
      <c r="V29" s="55">
        <v>0</v>
      </c>
      <c r="W29" s="52">
        <v>0</v>
      </c>
      <c r="X29" s="52">
        <v>0</v>
      </c>
      <c r="Y29" s="52">
        <v>0</v>
      </c>
      <c r="Z29" s="52">
        <v>0</v>
      </c>
      <c r="AA29" s="52">
        <v>0</v>
      </c>
      <c r="AB29" s="52">
        <v>0</v>
      </c>
      <c r="AC29" s="52">
        <v>0</v>
      </c>
      <c r="AD29" s="52">
        <v>0</v>
      </c>
      <c r="AE29" s="52">
        <v>0</v>
      </c>
      <c r="AF29" s="52">
        <v>0</v>
      </c>
      <c r="AG29" s="52">
        <v>0</v>
      </c>
      <c r="AH29" s="52">
        <v>0</v>
      </c>
      <c r="AI29" s="52">
        <v>0</v>
      </c>
      <c r="AJ29" s="52">
        <v>0</v>
      </c>
      <c r="AK29" s="52">
        <v>0</v>
      </c>
      <c r="AL29" s="52">
        <v>0</v>
      </c>
      <c r="AM29" s="52">
        <v>0</v>
      </c>
      <c r="AN29" s="52">
        <v>0</v>
      </c>
      <c r="AO29" s="52">
        <v>0</v>
      </c>
      <c r="AP29" s="52">
        <v>0</v>
      </c>
      <c r="AQ29" s="52">
        <v>0</v>
      </c>
      <c r="AR29" s="52">
        <v>0</v>
      </c>
    </row>
    <row r="30" spans="1:50" x14ac:dyDescent="0.25">
      <c r="A30" s="2" t="s">
        <v>30</v>
      </c>
      <c r="B30" s="2" t="s">
        <v>34</v>
      </c>
      <c r="W30" s="52">
        <v>0</v>
      </c>
      <c r="X30" s="52">
        <v>0</v>
      </c>
      <c r="Y30" s="52">
        <v>0</v>
      </c>
      <c r="Z30" s="52">
        <v>0</v>
      </c>
      <c r="AA30" s="52">
        <v>0</v>
      </c>
      <c r="AB30" s="52">
        <v>0</v>
      </c>
      <c r="AC30" s="52">
        <v>0</v>
      </c>
      <c r="AD30" s="52">
        <v>0</v>
      </c>
      <c r="AE30" s="52">
        <v>0</v>
      </c>
      <c r="AF30" s="52">
        <v>0</v>
      </c>
      <c r="AG30" s="52">
        <v>0</v>
      </c>
      <c r="AH30" s="52">
        <v>0</v>
      </c>
      <c r="AI30" s="52">
        <v>0</v>
      </c>
      <c r="AJ30" s="52">
        <v>0</v>
      </c>
      <c r="AK30" s="52">
        <v>0</v>
      </c>
      <c r="AL30" s="52">
        <v>0</v>
      </c>
      <c r="AM30" s="52">
        <v>0</v>
      </c>
      <c r="AN30" s="52">
        <v>0</v>
      </c>
      <c r="AO30" s="52">
        <v>0</v>
      </c>
      <c r="AP30" s="52">
        <v>0</v>
      </c>
      <c r="AQ30" s="52">
        <v>0</v>
      </c>
      <c r="AR30" s="52">
        <v>0</v>
      </c>
    </row>
    <row r="31" spans="1:50" x14ac:dyDescent="0.25">
      <c r="A31" s="2" t="s">
        <v>30</v>
      </c>
      <c r="B31" s="2" t="s">
        <v>35</v>
      </c>
      <c r="W31" s="52">
        <v>0</v>
      </c>
      <c r="X31" s="52">
        <v>0</v>
      </c>
      <c r="Y31" s="52">
        <v>0</v>
      </c>
      <c r="Z31" s="52">
        <v>0</v>
      </c>
      <c r="AA31" s="52">
        <v>0</v>
      </c>
      <c r="AB31" s="52">
        <v>0</v>
      </c>
      <c r="AC31" s="52">
        <v>0</v>
      </c>
      <c r="AD31" s="52">
        <v>0</v>
      </c>
      <c r="AE31" s="52">
        <v>0</v>
      </c>
      <c r="AF31" s="52">
        <v>0</v>
      </c>
      <c r="AG31" s="52">
        <v>0</v>
      </c>
      <c r="AH31" s="52">
        <v>0</v>
      </c>
      <c r="AI31" s="52">
        <v>0</v>
      </c>
      <c r="AJ31" s="52">
        <v>0</v>
      </c>
      <c r="AK31" s="52">
        <v>0</v>
      </c>
      <c r="AL31" s="52">
        <v>0</v>
      </c>
      <c r="AM31" s="52">
        <v>0</v>
      </c>
      <c r="AN31" s="52">
        <v>0</v>
      </c>
      <c r="AO31" s="52">
        <v>0</v>
      </c>
      <c r="AP31" s="52">
        <v>0</v>
      </c>
      <c r="AQ31" s="52">
        <v>0</v>
      </c>
      <c r="AR31" s="52">
        <v>0</v>
      </c>
    </row>
    <row r="32" spans="1:50" x14ac:dyDescent="0.25">
      <c r="A32" s="2" t="s">
        <v>30</v>
      </c>
      <c r="B32" s="2" t="s">
        <v>36</v>
      </c>
      <c r="O32">
        <v>27</v>
      </c>
      <c r="P32">
        <v>23</v>
      </c>
      <c r="Q32">
        <v>32</v>
      </c>
      <c r="R32">
        <v>30</v>
      </c>
      <c r="S32">
        <v>42</v>
      </c>
      <c r="T32">
        <v>44</v>
      </c>
      <c r="U32">
        <v>50</v>
      </c>
      <c r="V32">
        <v>59</v>
      </c>
      <c r="W32" s="52">
        <v>0</v>
      </c>
      <c r="X32" s="52">
        <v>0</v>
      </c>
      <c r="Y32" s="52">
        <v>0</v>
      </c>
      <c r="Z32" s="52">
        <v>0</v>
      </c>
      <c r="AA32" s="52">
        <v>0</v>
      </c>
      <c r="AB32" s="52">
        <v>0</v>
      </c>
      <c r="AC32" s="52">
        <v>0</v>
      </c>
      <c r="AD32" s="52">
        <v>0</v>
      </c>
      <c r="AE32" s="52">
        <v>0</v>
      </c>
      <c r="AF32" s="52">
        <v>0</v>
      </c>
      <c r="AG32" s="52">
        <v>0</v>
      </c>
      <c r="AH32" s="52">
        <v>0</v>
      </c>
      <c r="AI32" s="52">
        <v>0</v>
      </c>
      <c r="AJ32" s="52">
        <v>0</v>
      </c>
      <c r="AK32" s="52">
        <v>0</v>
      </c>
      <c r="AL32" s="52">
        <v>0</v>
      </c>
      <c r="AM32" s="52">
        <v>0</v>
      </c>
      <c r="AN32" s="52">
        <v>0</v>
      </c>
      <c r="AO32" s="52">
        <v>0</v>
      </c>
      <c r="AP32" s="52">
        <v>0</v>
      </c>
      <c r="AQ32" s="52">
        <v>0</v>
      </c>
      <c r="AR32" s="52">
        <v>0</v>
      </c>
    </row>
    <row r="33" spans="1:50" x14ac:dyDescent="0.25">
      <c r="A33" s="2" t="s">
        <v>30</v>
      </c>
      <c r="B33" s="2" t="s">
        <v>37</v>
      </c>
      <c r="S33">
        <v>5</v>
      </c>
      <c r="T33">
        <v>24</v>
      </c>
      <c r="U33">
        <v>20</v>
      </c>
      <c r="V33">
        <v>47</v>
      </c>
      <c r="W33" s="52">
        <v>0</v>
      </c>
      <c r="X33" s="52">
        <v>0</v>
      </c>
      <c r="Y33" s="52">
        <v>0</v>
      </c>
      <c r="Z33" s="52">
        <v>0</v>
      </c>
      <c r="AA33" s="52">
        <v>0</v>
      </c>
      <c r="AB33" s="52">
        <v>0</v>
      </c>
      <c r="AC33" s="52">
        <v>0</v>
      </c>
      <c r="AD33" s="52">
        <v>0</v>
      </c>
      <c r="AE33" s="52">
        <v>0</v>
      </c>
      <c r="AF33" s="52">
        <v>0</v>
      </c>
      <c r="AG33" s="52">
        <v>0</v>
      </c>
      <c r="AH33" s="52">
        <v>0</v>
      </c>
      <c r="AI33" s="52">
        <v>0</v>
      </c>
      <c r="AJ33" s="52">
        <v>0</v>
      </c>
      <c r="AK33" s="52">
        <v>0</v>
      </c>
      <c r="AL33" s="52">
        <v>0</v>
      </c>
      <c r="AM33" s="52">
        <v>0</v>
      </c>
      <c r="AN33" s="52">
        <v>0</v>
      </c>
      <c r="AO33" s="52">
        <v>0</v>
      </c>
      <c r="AP33" s="52">
        <v>0</v>
      </c>
      <c r="AQ33" s="52">
        <v>0</v>
      </c>
      <c r="AR33" s="52">
        <v>0</v>
      </c>
    </row>
    <row r="34" spans="1:50" x14ac:dyDescent="0.25">
      <c r="A34" s="2" t="s">
        <v>30</v>
      </c>
      <c r="B34" s="2" t="s">
        <v>38</v>
      </c>
      <c r="W34" s="52">
        <v>0</v>
      </c>
      <c r="X34" s="52">
        <v>0</v>
      </c>
      <c r="Y34" s="52">
        <v>0</v>
      </c>
      <c r="Z34" s="52">
        <v>0</v>
      </c>
      <c r="AA34" s="52">
        <v>0</v>
      </c>
      <c r="AB34" s="52">
        <v>0</v>
      </c>
      <c r="AC34" s="52">
        <v>0</v>
      </c>
      <c r="AD34" s="52">
        <v>0</v>
      </c>
      <c r="AE34" s="52">
        <v>0</v>
      </c>
      <c r="AF34" s="52">
        <v>0</v>
      </c>
      <c r="AG34" s="52">
        <v>0</v>
      </c>
      <c r="AH34" s="52">
        <v>0</v>
      </c>
      <c r="AI34" s="52">
        <v>0</v>
      </c>
      <c r="AJ34" s="52">
        <v>0</v>
      </c>
      <c r="AK34" s="52">
        <v>0</v>
      </c>
      <c r="AL34" s="52">
        <v>0</v>
      </c>
      <c r="AM34" s="52">
        <v>0</v>
      </c>
      <c r="AN34" s="52">
        <v>0</v>
      </c>
      <c r="AO34" s="52">
        <v>0</v>
      </c>
      <c r="AP34" s="52">
        <v>0</v>
      </c>
      <c r="AQ34" s="52">
        <v>0</v>
      </c>
      <c r="AR34" s="52">
        <v>0</v>
      </c>
    </row>
    <row r="35" spans="1:50" x14ac:dyDescent="0.25">
      <c r="A35" s="2" t="s">
        <v>30</v>
      </c>
      <c r="B35" s="2" t="s">
        <v>39</v>
      </c>
      <c r="G35">
        <v>1</v>
      </c>
      <c r="H35">
        <v>1</v>
      </c>
      <c r="I35">
        <v>3</v>
      </c>
      <c r="J35">
        <v>3</v>
      </c>
      <c r="K35">
        <v>3</v>
      </c>
      <c r="L35">
        <v>3</v>
      </c>
      <c r="M35">
        <v>4</v>
      </c>
      <c r="N35">
        <v>4</v>
      </c>
      <c r="O35">
        <v>6</v>
      </c>
      <c r="P35">
        <v>6</v>
      </c>
      <c r="Q35">
        <v>8</v>
      </c>
      <c r="R35">
        <v>8</v>
      </c>
      <c r="S35">
        <v>9</v>
      </c>
      <c r="T35">
        <v>11</v>
      </c>
      <c r="U35">
        <v>12</v>
      </c>
      <c r="V35">
        <v>14</v>
      </c>
      <c r="W35" s="52">
        <v>0</v>
      </c>
      <c r="X35" s="52">
        <v>0</v>
      </c>
      <c r="Y35" s="52">
        <v>0</v>
      </c>
      <c r="Z35" s="52">
        <v>0</v>
      </c>
      <c r="AA35" s="52">
        <v>0</v>
      </c>
      <c r="AB35" s="52">
        <v>0</v>
      </c>
      <c r="AC35" s="52">
        <v>0</v>
      </c>
      <c r="AD35" s="52">
        <v>0</v>
      </c>
      <c r="AE35" s="52">
        <v>0</v>
      </c>
      <c r="AF35" s="52">
        <v>0</v>
      </c>
      <c r="AG35" s="52">
        <v>0</v>
      </c>
      <c r="AH35" s="52">
        <v>0</v>
      </c>
      <c r="AI35" s="52">
        <v>0</v>
      </c>
      <c r="AJ35" s="52">
        <v>0</v>
      </c>
      <c r="AK35" s="52">
        <v>0</v>
      </c>
      <c r="AL35" s="52">
        <v>0</v>
      </c>
      <c r="AM35" s="52">
        <v>0</v>
      </c>
      <c r="AN35" s="52">
        <v>0</v>
      </c>
      <c r="AO35" s="52">
        <v>0</v>
      </c>
      <c r="AP35" s="52">
        <v>0</v>
      </c>
      <c r="AQ35" s="52">
        <v>0</v>
      </c>
      <c r="AR35" s="52">
        <v>0</v>
      </c>
    </row>
    <row r="36" spans="1:50" x14ac:dyDescent="0.25">
      <c r="A36" s="2" t="s">
        <v>30</v>
      </c>
      <c r="B36" s="2" t="s">
        <v>40</v>
      </c>
      <c r="W36" s="52">
        <v>0</v>
      </c>
      <c r="X36" s="52">
        <v>0</v>
      </c>
      <c r="Y36" s="52">
        <v>0</v>
      </c>
      <c r="Z36" s="52">
        <v>0</v>
      </c>
      <c r="AA36" s="52">
        <v>0</v>
      </c>
      <c r="AB36" s="52">
        <v>0</v>
      </c>
      <c r="AC36" s="52">
        <v>0</v>
      </c>
      <c r="AD36" s="52">
        <v>0</v>
      </c>
      <c r="AE36" s="52">
        <v>0</v>
      </c>
      <c r="AF36" s="52">
        <v>0</v>
      </c>
      <c r="AG36" s="52">
        <v>0</v>
      </c>
      <c r="AH36" s="52">
        <v>0</v>
      </c>
      <c r="AI36" s="52">
        <v>0</v>
      </c>
      <c r="AJ36" s="52">
        <v>0</v>
      </c>
      <c r="AK36" s="52">
        <v>0</v>
      </c>
      <c r="AL36" s="52">
        <v>0</v>
      </c>
      <c r="AM36" s="52">
        <v>0</v>
      </c>
      <c r="AN36" s="52">
        <v>0</v>
      </c>
      <c r="AO36" s="52">
        <v>0</v>
      </c>
      <c r="AP36" s="52">
        <v>0</v>
      </c>
      <c r="AQ36" s="52">
        <v>0</v>
      </c>
      <c r="AR36" s="52">
        <v>0</v>
      </c>
    </row>
    <row r="37" spans="1:50" x14ac:dyDescent="0.25">
      <c r="A37" s="2" t="s">
        <v>30</v>
      </c>
      <c r="B37" s="2" t="s">
        <v>41</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0</v>
      </c>
      <c r="AN37" s="52">
        <v>0</v>
      </c>
      <c r="AO37" s="52">
        <v>0</v>
      </c>
      <c r="AP37" s="52">
        <v>0</v>
      </c>
      <c r="AQ37" s="52">
        <v>0</v>
      </c>
      <c r="AR37" s="52">
        <v>0</v>
      </c>
      <c r="AU37">
        <v>1</v>
      </c>
      <c r="AV37">
        <v>0</v>
      </c>
      <c r="AW37">
        <v>1662</v>
      </c>
      <c r="AX37">
        <v>2</v>
      </c>
    </row>
    <row r="38" spans="1:50" x14ac:dyDescent="0.25">
      <c r="A38" s="2" t="s">
        <v>30</v>
      </c>
      <c r="B38" s="2" t="s">
        <v>42</v>
      </c>
      <c r="W38" s="52">
        <v>0</v>
      </c>
      <c r="X38" s="52">
        <v>0</v>
      </c>
      <c r="Y38" s="52">
        <v>0</v>
      </c>
      <c r="Z38" s="52">
        <v>0</v>
      </c>
      <c r="AA38" s="52">
        <v>0</v>
      </c>
      <c r="AB38" s="52">
        <v>0</v>
      </c>
      <c r="AC38" s="52">
        <v>0</v>
      </c>
      <c r="AD38" s="52">
        <v>0</v>
      </c>
      <c r="AE38" s="52">
        <v>0</v>
      </c>
      <c r="AF38" s="52">
        <v>0</v>
      </c>
      <c r="AG38" s="52">
        <v>0</v>
      </c>
      <c r="AH38" s="52">
        <v>0</v>
      </c>
      <c r="AI38" s="52">
        <v>0</v>
      </c>
      <c r="AJ38" s="52">
        <v>0</v>
      </c>
      <c r="AK38" s="52">
        <v>0</v>
      </c>
      <c r="AL38" s="52">
        <v>0</v>
      </c>
      <c r="AM38" s="52">
        <v>0</v>
      </c>
      <c r="AN38" s="52">
        <v>0</v>
      </c>
      <c r="AO38" s="52">
        <v>0</v>
      </c>
      <c r="AP38" s="52">
        <v>0</v>
      </c>
      <c r="AQ38" s="52">
        <v>0</v>
      </c>
      <c r="AR38" s="52">
        <v>0</v>
      </c>
    </row>
    <row r="39" spans="1:50" x14ac:dyDescent="0.25">
      <c r="A39" s="2" t="s">
        <v>30</v>
      </c>
      <c r="B39" s="2" t="s">
        <v>43</v>
      </c>
      <c r="M39">
        <v>6</v>
      </c>
      <c r="N39">
        <v>0</v>
      </c>
      <c r="O39">
        <v>24</v>
      </c>
      <c r="P39">
        <v>0</v>
      </c>
      <c r="Q39">
        <v>33</v>
      </c>
      <c r="R39">
        <v>0</v>
      </c>
      <c r="S39">
        <v>45</v>
      </c>
      <c r="T39">
        <v>0</v>
      </c>
      <c r="U39">
        <v>62</v>
      </c>
      <c r="V39">
        <v>0</v>
      </c>
      <c r="W39" s="52">
        <v>0</v>
      </c>
      <c r="X39" s="52">
        <v>0</v>
      </c>
      <c r="Y39" s="52">
        <v>0</v>
      </c>
      <c r="Z39" s="52">
        <v>0</v>
      </c>
      <c r="AA39" s="52">
        <v>0</v>
      </c>
      <c r="AB39" s="52">
        <v>0</v>
      </c>
      <c r="AC39" s="52">
        <v>0</v>
      </c>
      <c r="AD39" s="52">
        <v>0</v>
      </c>
      <c r="AE39" s="52">
        <v>0</v>
      </c>
      <c r="AF39" s="52">
        <v>0</v>
      </c>
      <c r="AG39" s="52">
        <v>0</v>
      </c>
      <c r="AH39" s="52">
        <v>0</v>
      </c>
      <c r="AI39" s="52">
        <v>0</v>
      </c>
      <c r="AJ39" s="52">
        <v>0</v>
      </c>
      <c r="AK39" s="52">
        <v>0</v>
      </c>
      <c r="AL39" s="52">
        <v>0</v>
      </c>
      <c r="AM39" s="52">
        <v>0</v>
      </c>
      <c r="AN39" s="52">
        <v>0</v>
      </c>
      <c r="AO39" s="52">
        <v>0</v>
      </c>
      <c r="AP39" s="52">
        <v>0</v>
      </c>
      <c r="AQ39" s="52">
        <v>0</v>
      </c>
      <c r="AR39" s="52">
        <v>0</v>
      </c>
    </row>
    <row r="40" spans="1:50" x14ac:dyDescent="0.25">
      <c r="A40" s="2" t="s">
        <v>30</v>
      </c>
      <c r="B40" s="2" t="s">
        <v>44</v>
      </c>
      <c r="E40">
        <v>55</v>
      </c>
      <c r="F40">
        <v>15</v>
      </c>
      <c r="G40">
        <v>77</v>
      </c>
      <c r="H40">
        <v>26</v>
      </c>
      <c r="I40">
        <v>96</v>
      </c>
      <c r="J40">
        <v>31</v>
      </c>
      <c r="K40">
        <v>103</v>
      </c>
      <c r="L40">
        <v>37</v>
      </c>
      <c r="M40">
        <v>145</v>
      </c>
      <c r="N40">
        <v>59</v>
      </c>
      <c r="O40">
        <v>189</v>
      </c>
      <c r="P40">
        <v>90</v>
      </c>
      <c r="Q40">
        <v>216</v>
      </c>
      <c r="R40">
        <v>109</v>
      </c>
      <c r="S40">
        <v>281</v>
      </c>
      <c r="T40">
        <v>184</v>
      </c>
      <c r="U40">
        <v>486</v>
      </c>
      <c r="V40">
        <v>319</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0</v>
      </c>
      <c r="AM40" s="52">
        <v>0</v>
      </c>
      <c r="AN40" s="52">
        <v>0</v>
      </c>
      <c r="AO40" s="52">
        <v>0</v>
      </c>
      <c r="AP40" s="52">
        <v>0</v>
      </c>
      <c r="AQ40" s="52">
        <v>0</v>
      </c>
      <c r="AR40" s="52">
        <v>0</v>
      </c>
      <c r="AW40">
        <v>1</v>
      </c>
      <c r="AX40">
        <v>38</v>
      </c>
    </row>
    <row r="41" spans="1:50" x14ac:dyDescent="0.25">
      <c r="A41" s="2" t="s">
        <v>30</v>
      </c>
      <c r="B41" s="2" t="s">
        <v>45</v>
      </c>
      <c r="W41" s="52">
        <v>0</v>
      </c>
      <c r="X41" s="52">
        <v>0</v>
      </c>
      <c r="Y41" s="52">
        <v>0</v>
      </c>
      <c r="Z41" s="52">
        <v>0</v>
      </c>
      <c r="AA41" s="52">
        <v>0</v>
      </c>
      <c r="AB41" s="52">
        <v>0</v>
      </c>
      <c r="AC41" s="52">
        <v>0</v>
      </c>
      <c r="AD41" s="52">
        <v>0</v>
      </c>
      <c r="AE41" s="52">
        <v>0</v>
      </c>
      <c r="AF41" s="52">
        <v>0</v>
      </c>
      <c r="AG41" s="52">
        <v>0</v>
      </c>
      <c r="AH41" s="52">
        <v>0</v>
      </c>
      <c r="AI41" s="52">
        <v>0</v>
      </c>
      <c r="AJ41" s="52">
        <v>0</v>
      </c>
      <c r="AK41" s="52">
        <v>0</v>
      </c>
      <c r="AL41" s="52">
        <v>0</v>
      </c>
      <c r="AM41" s="52">
        <v>0</v>
      </c>
      <c r="AN41" s="52">
        <v>0</v>
      </c>
      <c r="AO41" s="52">
        <v>0</v>
      </c>
      <c r="AP41" s="52">
        <v>0</v>
      </c>
      <c r="AQ41" s="52">
        <v>0</v>
      </c>
      <c r="AR41" s="52">
        <v>0</v>
      </c>
    </row>
    <row r="42" spans="1:50" x14ac:dyDescent="0.25">
      <c r="A42" s="2" t="s">
        <v>30</v>
      </c>
      <c r="B42" s="2" t="s">
        <v>46</v>
      </c>
      <c r="C42">
        <v>90</v>
      </c>
      <c r="D42">
        <v>9</v>
      </c>
      <c r="E42">
        <v>91</v>
      </c>
      <c r="F42">
        <v>9</v>
      </c>
      <c r="G42">
        <v>91</v>
      </c>
      <c r="H42">
        <v>14</v>
      </c>
      <c r="I42">
        <v>132</v>
      </c>
      <c r="J42">
        <v>31</v>
      </c>
      <c r="K42">
        <v>140</v>
      </c>
      <c r="L42">
        <v>33</v>
      </c>
      <c r="M42">
        <v>200</v>
      </c>
      <c r="N42">
        <v>40</v>
      </c>
      <c r="O42">
        <v>294</v>
      </c>
      <c r="P42">
        <v>73</v>
      </c>
      <c r="Q42">
        <v>376</v>
      </c>
      <c r="R42">
        <v>185</v>
      </c>
      <c r="S42">
        <v>527</v>
      </c>
      <c r="T42">
        <v>928</v>
      </c>
      <c r="U42">
        <v>730</v>
      </c>
      <c r="V42">
        <v>1430</v>
      </c>
      <c r="W42" s="52">
        <v>0</v>
      </c>
      <c r="X42" s="52">
        <v>0</v>
      </c>
      <c r="Y42" s="52">
        <v>0</v>
      </c>
      <c r="Z42" s="52">
        <v>0</v>
      </c>
      <c r="AA42" s="52">
        <v>0</v>
      </c>
      <c r="AB42" s="52">
        <v>0</v>
      </c>
      <c r="AC42" s="52">
        <v>0</v>
      </c>
      <c r="AD42" s="52">
        <v>0</v>
      </c>
      <c r="AE42" s="52">
        <v>0</v>
      </c>
      <c r="AF42" s="52">
        <v>0</v>
      </c>
      <c r="AG42" s="52">
        <v>0</v>
      </c>
      <c r="AH42" s="52">
        <v>0</v>
      </c>
      <c r="AI42" s="52">
        <v>0</v>
      </c>
      <c r="AJ42" s="52">
        <v>0</v>
      </c>
      <c r="AK42" s="52">
        <v>0</v>
      </c>
      <c r="AL42" s="52">
        <v>0</v>
      </c>
      <c r="AM42" s="52">
        <v>0</v>
      </c>
      <c r="AN42" s="52">
        <v>0</v>
      </c>
      <c r="AO42" s="52">
        <v>0</v>
      </c>
      <c r="AP42" s="52">
        <v>0</v>
      </c>
      <c r="AQ42" s="52">
        <v>0</v>
      </c>
      <c r="AR42" s="52">
        <v>0</v>
      </c>
    </row>
    <row r="43" spans="1:50" x14ac:dyDescent="0.25">
      <c r="A43" s="2" t="s">
        <v>30</v>
      </c>
      <c r="B43" s="2" t="s">
        <v>47</v>
      </c>
      <c r="W43" s="52">
        <v>0</v>
      </c>
      <c r="X43" s="52">
        <v>0</v>
      </c>
      <c r="Y43" s="52">
        <v>0</v>
      </c>
      <c r="Z43" s="52">
        <v>0</v>
      </c>
      <c r="AA43" s="52">
        <v>0</v>
      </c>
      <c r="AB43" s="52">
        <v>0</v>
      </c>
      <c r="AC43" s="52">
        <v>0</v>
      </c>
      <c r="AD43" s="52">
        <v>0</v>
      </c>
      <c r="AE43" s="52">
        <v>0</v>
      </c>
      <c r="AF43" s="52">
        <v>0</v>
      </c>
      <c r="AG43" s="52">
        <v>0</v>
      </c>
      <c r="AH43" s="52">
        <v>0</v>
      </c>
      <c r="AI43" s="52">
        <v>0</v>
      </c>
      <c r="AJ43" s="52">
        <v>0</v>
      </c>
      <c r="AK43" s="52">
        <v>0</v>
      </c>
      <c r="AL43" s="52">
        <v>0</v>
      </c>
      <c r="AM43" s="52">
        <v>0</v>
      </c>
      <c r="AN43" s="52">
        <v>0</v>
      </c>
      <c r="AO43" s="52">
        <v>0</v>
      </c>
      <c r="AP43" s="52">
        <v>0</v>
      </c>
      <c r="AQ43" s="52">
        <v>0</v>
      </c>
      <c r="AR43" s="52">
        <v>0</v>
      </c>
    </row>
    <row r="44" spans="1:50" x14ac:dyDescent="0.25">
      <c r="A44" s="2" t="s">
        <v>30</v>
      </c>
      <c r="B44" s="2" t="s">
        <v>48</v>
      </c>
      <c r="W44" s="52">
        <v>0</v>
      </c>
      <c r="X44" s="52">
        <v>0</v>
      </c>
      <c r="Y44" s="52">
        <v>0</v>
      </c>
      <c r="Z44" s="52">
        <v>0</v>
      </c>
      <c r="AA44" s="52">
        <v>0</v>
      </c>
      <c r="AB44" s="52">
        <v>0</v>
      </c>
      <c r="AC44" s="52">
        <v>0</v>
      </c>
      <c r="AD44" s="52">
        <v>0</v>
      </c>
      <c r="AE44" s="52">
        <v>0</v>
      </c>
      <c r="AF44" s="52">
        <v>0</v>
      </c>
      <c r="AG44" s="52">
        <v>0</v>
      </c>
      <c r="AH44" s="52">
        <v>0</v>
      </c>
      <c r="AI44" s="52">
        <v>0</v>
      </c>
      <c r="AJ44" s="52">
        <v>0</v>
      </c>
      <c r="AK44" s="52">
        <v>0</v>
      </c>
      <c r="AL44" s="52">
        <v>0</v>
      </c>
      <c r="AM44" s="52">
        <v>0</v>
      </c>
      <c r="AN44" s="52">
        <v>0</v>
      </c>
      <c r="AO44" s="52">
        <v>0</v>
      </c>
      <c r="AP44" s="52">
        <v>0</v>
      </c>
      <c r="AQ44" s="52">
        <v>0</v>
      </c>
      <c r="AR44" s="52">
        <v>0</v>
      </c>
    </row>
    <row r="45" spans="1:50" x14ac:dyDescent="0.25">
      <c r="A45" s="2" t="s">
        <v>30</v>
      </c>
      <c r="B45" s="2" t="s">
        <v>49</v>
      </c>
      <c r="I45">
        <v>5</v>
      </c>
      <c r="J45">
        <v>0</v>
      </c>
      <c r="K45">
        <v>19</v>
      </c>
      <c r="L45">
        <v>2</v>
      </c>
      <c r="M45">
        <v>78</v>
      </c>
      <c r="N45">
        <v>18</v>
      </c>
      <c r="O45">
        <v>93</v>
      </c>
      <c r="P45">
        <v>23</v>
      </c>
      <c r="Q45">
        <v>295</v>
      </c>
      <c r="R45">
        <v>43</v>
      </c>
      <c r="S45">
        <v>440</v>
      </c>
      <c r="T45">
        <v>51</v>
      </c>
      <c r="U45">
        <v>614</v>
      </c>
      <c r="V45">
        <v>64</v>
      </c>
      <c r="W45" s="52">
        <v>0</v>
      </c>
      <c r="X45" s="52">
        <v>0</v>
      </c>
      <c r="Y45" s="52">
        <v>0</v>
      </c>
      <c r="Z45" s="52">
        <v>0</v>
      </c>
      <c r="AA45" s="52">
        <v>0</v>
      </c>
      <c r="AB45" s="52">
        <v>0</v>
      </c>
      <c r="AC45" s="52">
        <v>0</v>
      </c>
      <c r="AD45" s="52">
        <v>0</v>
      </c>
      <c r="AE45" s="52">
        <v>0</v>
      </c>
      <c r="AF45" s="52">
        <v>0</v>
      </c>
      <c r="AG45" s="52">
        <v>0</v>
      </c>
      <c r="AH45" s="52">
        <v>0</v>
      </c>
      <c r="AI45" s="58">
        <v>0</v>
      </c>
      <c r="AJ45" s="58">
        <v>0</v>
      </c>
      <c r="AK45" s="58">
        <v>0</v>
      </c>
      <c r="AL45" s="58">
        <v>0</v>
      </c>
      <c r="AM45" s="58">
        <v>0</v>
      </c>
      <c r="AN45" s="58">
        <v>0</v>
      </c>
      <c r="AO45" s="58">
        <v>0</v>
      </c>
      <c r="AP45" s="58">
        <v>0</v>
      </c>
      <c r="AQ45" s="58">
        <v>0</v>
      </c>
      <c r="AR45" s="58">
        <v>0</v>
      </c>
      <c r="AS45">
        <v>6</v>
      </c>
      <c r="AT45">
        <v>0</v>
      </c>
      <c r="AU45">
        <v>8</v>
      </c>
      <c r="AV45">
        <v>0</v>
      </c>
      <c r="AW45">
        <v>3705</v>
      </c>
      <c r="AX45">
        <v>374</v>
      </c>
    </row>
    <row r="46" spans="1:50" s="50" customFormat="1" x14ac:dyDescent="0.25">
      <c r="A46" s="15" t="s">
        <v>30</v>
      </c>
      <c r="B46" s="15" t="s">
        <v>50</v>
      </c>
      <c r="W46" s="54">
        <v>0</v>
      </c>
      <c r="X46" s="54">
        <v>0</v>
      </c>
      <c r="Y46" s="54">
        <v>0</v>
      </c>
      <c r="Z46" s="54">
        <v>0</v>
      </c>
      <c r="AA46" s="54">
        <v>0</v>
      </c>
      <c r="AB46" s="54">
        <v>0</v>
      </c>
      <c r="AC46" s="54">
        <v>0</v>
      </c>
      <c r="AD46" s="54">
        <v>0</v>
      </c>
      <c r="AE46" s="54">
        <v>0</v>
      </c>
      <c r="AF46" s="54">
        <v>0</v>
      </c>
      <c r="AG46" s="54">
        <v>0</v>
      </c>
      <c r="AH46" s="54">
        <v>0</v>
      </c>
      <c r="AI46" s="61">
        <v>0</v>
      </c>
      <c r="AJ46" s="61">
        <v>0</v>
      </c>
      <c r="AK46" s="61">
        <v>0</v>
      </c>
      <c r="AL46" s="61">
        <v>0</v>
      </c>
      <c r="AM46" s="61">
        <v>0</v>
      </c>
      <c r="AN46" s="61">
        <v>0</v>
      </c>
      <c r="AO46" s="61">
        <v>0</v>
      </c>
      <c r="AP46" s="61">
        <v>0</v>
      </c>
      <c r="AQ46" s="61">
        <v>0</v>
      </c>
      <c r="AR46" s="61">
        <v>0</v>
      </c>
    </row>
    <row r="47" spans="1:50" x14ac:dyDescent="0.25">
      <c r="A47" s="2" t="s">
        <v>51</v>
      </c>
      <c r="B47" s="2" t="s">
        <v>52</v>
      </c>
      <c r="C47">
        <v>31</v>
      </c>
      <c r="D47">
        <v>2</v>
      </c>
      <c r="E47" s="2">
        <v>35</v>
      </c>
      <c r="F47" s="2">
        <v>2</v>
      </c>
      <c r="G47" s="2">
        <v>273</v>
      </c>
      <c r="H47" s="2">
        <v>23</v>
      </c>
      <c r="I47" s="2">
        <v>301</v>
      </c>
      <c r="J47" s="2">
        <v>23</v>
      </c>
      <c r="K47" s="2">
        <v>304</v>
      </c>
      <c r="L47" s="2">
        <v>23</v>
      </c>
      <c r="M47" s="2">
        <v>308</v>
      </c>
      <c r="N47" s="2">
        <v>24</v>
      </c>
      <c r="O47" s="2">
        <v>316</v>
      </c>
      <c r="P47" s="2">
        <v>25</v>
      </c>
      <c r="Q47" s="2">
        <v>326</v>
      </c>
      <c r="R47" s="2">
        <v>25</v>
      </c>
      <c r="S47" s="2">
        <v>338</v>
      </c>
      <c r="T47" s="2">
        <v>25</v>
      </c>
      <c r="U47" s="2">
        <v>341</v>
      </c>
      <c r="V47" s="2">
        <v>25</v>
      </c>
      <c r="W47" s="56"/>
      <c r="X47" s="56"/>
      <c r="Y47" s="60"/>
      <c r="Z47" s="60"/>
      <c r="AA47" s="60"/>
      <c r="AB47" s="60"/>
      <c r="AC47" s="60"/>
      <c r="AD47" s="60"/>
      <c r="AE47" s="60"/>
      <c r="AF47" s="60"/>
      <c r="AG47" s="60"/>
      <c r="AH47" s="60"/>
      <c r="AI47" s="60"/>
      <c r="AJ47" s="60"/>
      <c r="AK47" s="60"/>
      <c r="AL47" s="60"/>
      <c r="AM47" s="60"/>
      <c r="AN47" s="56"/>
      <c r="AO47" s="60"/>
      <c r="AP47" s="60"/>
      <c r="AQ47" s="58">
        <v>0</v>
      </c>
      <c r="AR47" s="58">
        <v>0</v>
      </c>
      <c r="AS47" s="52">
        <v>0</v>
      </c>
      <c r="AT47" s="52">
        <v>0</v>
      </c>
      <c r="AU47" s="52">
        <v>0</v>
      </c>
      <c r="AV47" s="52">
        <v>0</v>
      </c>
      <c r="AW47" s="52">
        <v>0</v>
      </c>
      <c r="AX47" s="52">
        <v>0</v>
      </c>
    </row>
    <row r="48" spans="1:50" x14ac:dyDescent="0.25">
      <c r="A48" s="2" t="s">
        <v>51</v>
      </c>
      <c r="B48" s="2" t="s">
        <v>53</v>
      </c>
      <c r="C48">
        <v>294</v>
      </c>
      <c r="D48">
        <v>3</v>
      </c>
      <c r="E48" s="2">
        <v>538</v>
      </c>
      <c r="F48" s="2">
        <v>5</v>
      </c>
      <c r="G48" s="2">
        <v>690</v>
      </c>
      <c r="H48" s="2">
        <v>5</v>
      </c>
      <c r="I48" s="2">
        <v>884</v>
      </c>
      <c r="J48" s="2">
        <v>5</v>
      </c>
      <c r="K48" s="2">
        <v>960</v>
      </c>
      <c r="L48" s="2">
        <v>5</v>
      </c>
      <c r="M48" s="2">
        <v>1140</v>
      </c>
      <c r="N48" s="2">
        <v>9</v>
      </c>
      <c r="O48" s="2">
        <v>1189</v>
      </c>
      <c r="P48" s="2">
        <v>10</v>
      </c>
      <c r="Q48" s="2">
        <v>1211</v>
      </c>
      <c r="R48" s="2">
        <v>14</v>
      </c>
      <c r="S48" s="2">
        <v>1238</v>
      </c>
      <c r="T48" s="2">
        <v>16</v>
      </c>
      <c r="U48" s="2">
        <v>1258</v>
      </c>
      <c r="V48" s="2">
        <v>17</v>
      </c>
      <c r="W48" s="56"/>
      <c r="X48" s="60"/>
      <c r="Y48" s="60"/>
      <c r="Z48" s="60"/>
      <c r="AA48" s="60"/>
      <c r="AB48" s="60"/>
      <c r="AC48" s="60"/>
      <c r="AD48" s="60"/>
      <c r="AE48" s="60"/>
      <c r="AF48" s="60"/>
      <c r="AG48" s="60"/>
      <c r="AH48" s="60"/>
      <c r="AI48" s="60"/>
      <c r="AJ48" s="60"/>
      <c r="AK48" s="60"/>
      <c r="AL48" s="60"/>
      <c r="AM48" s="60"/>
      <c r="AN48" s="56"/>
      <c r="AO48" s="60"/>
      <c r="AP48" s="60"/>
      <c r="AQ48" s="58">
        <v>0</v>
      </c>
      <c r="AR48" s="58">
        <v>0</v>
      </c>
      <c r="AS48" s="52">
        <v>0</v>
      </c>
      <c r="AT48" s="52">
        <v>0</v>
      </c>
      <c r="AU48" s="52">
        <v>0</v>
      </c>
      <c r="AV48" s="52">
        <v>0</v>
      </c>
      <c r="AW48" s="52">
        <v>0</v>
      </c>
      <c r="AX48" s="52">
        <v>0</v>
      </c>
    </row>
    <row r="49" spans="1:50" x14ac:dyDescent="0.25">
      <c r="A49" s="2" t="s">
        <v>51</v>
      </c>
      <c r="B49" s="2" t="s">
        <v>54</v>
      </c>
      <c r="E49" s="2"/>
      <c r="F49" s="2"/>
      <c r="G49" s="2"/>
      <c r="H49" s="2"/>
      <c r="I49" s="2"/>
      <c r="J49" s="2"/>
      <c r="K49" s="2"/>
      <c r="L49" s="2"/>
      <c r="M49" s="2"/>
      <c r="N49" s="2"/>
      <c r="O49" s="2"/>
      <c r="P49" s="2"/>
      <c r="Q49" s="2"/>
      <c r="R49" s="2"/>
      <c r="S49" s="2"/>
      <c r="T49" s="2"/>
      <c r="U49" s="2"/>
      <c r="V49" s="2"/>
      <c r="W49" s="2"/>
      <c r="X49" s="2"/>
      <c r="Y49" s="60"/>
      <c r="Z49" s="60"/>
      <c r="AA49" s="60"/>
      <c r="AB49" s="60"/>
      <c r="AC49" s="60"/>
      <c r="AD49" s="60"/>
      <c r="AE49" s="2"/>
      <c r="AF49" s="2"/>
      <c r="AG49" s="60"/>
      <c r="AH49" s="60"/>
      <c r="AI49" s="60"/>
      <c r="AJ49" s="60"/>
      <c r="AK49" s="60"/>
      <c r="AL49" s="60"/>
      <c r="AM49" s="60"/>
      <c r="AN49" s="60"/>
      <c r="AO49" s="60"/>
      <c r="AP49" s="60"/>
      <c r="AQ49" s="58">
        <v>0</v>
      </c>
      <c r="AR49" s="58">
        <v>0</v>
      </c>
      <c r="AS49" s="52">
        <v>0</v>
      </c>
      <c r="AT49" s="52">
        <v>0</v>
      </c>
      <c r="AU49" s="52">
        <v>0</v>
      </c>
      <c r="AV49" s="52">
        <v>0</v>
      </c>
      <c r="AW49" s="52">
        <v>0</v>
      </c>
      <c r="AX49" s="52">
        <v>0</v>
      </c>
    </row>
    <row r="50" spans="1:50" x14ac:dyDescent="0.25">
      <c r="A50" s="2" t="s">
        <v>51</v>
      </c>
      <c r="B50" s="2" t="s">
        <v>55</v>
      </c>
      <c r="C50">
        <v>115</v>
      </c>
      <c r="D50">
        <v>4</v>
      </c>
      <c r="E50" s="2">
        <v>268</v>
      </c>
      <c r="F50" s="2">
        <v>6</v>
      </c>
      <c r="G50" s="2">
        <v>373</v>
      </c>
      <c r="H50" s="2">
        <v>10</v>
      </c>
      <c r="I50" s="2">
        <v>521</v>
      </c>
      <c r="J50" s="2">
        <v>16</v>
      </c>
      <c r="K50" s="2">
        <v>579</v>
      </c>
      <c r="L50" s="2">
        <v>17</v>
      </c>
      <c r="M50" s="2">
        <v>726</v>
      </c>
      <c r="N50" s="2">
        <v>28</v>
      </c>
      <c r="O50" s="2">
        <v>846</v>
      </c>
      <c r="P50" s="2">
        <v>33</v>
      </c>
      <c r="Q50" s="2">
        <v>897</v>
      </c>
      <c r="R50" s="2">
        <v>33</v>
      </c>
      <c r="S50" s="2">
        <v>1005</v>
      </c>
      <c r="T50" s="2">
        <v>34</v>
      </c>
      <c r="U50" s="2">
        <v>1081</v>
      </c>
      <c r="V50" s="2">
        <v>34</v>
      </c>
      <c r="W50" s="60"/>
      <c r="X50" s="60"/>
      <c r="Y50" s="60"/>
      <c r="Z50" s="60"/>
      <c r="AA50" s="60"/>
      <c r="AB50" s="60"/>
      <c r="AC50" s="60"/>
      <c r="AD50" s="60"/>
      <c r="AE50" s="60"/>
      <c r="AF50" s="60"/>
      <c r="AG50" s="60"/>
      <c r="AH50" s="60"/>
      <c r="AI50" s="60"/>
      <c r="AJ50" s="60"/>
      <c r="AK50" s="60"/>
      <c r="AL50" s="60"/>
      <c r="AM50" s="60"/>
      <c r="AN50" s="56"/>
      <c r="AO50" s="60"/>
      <c r="AP50" s="60"/>
      <c r="AQ50" s="58">
        <v>0</v>
      </c>
      <c r="AR50" s="58">
        <v>0</v>
      </c>
      <c r="AS50" s="52">
        <v>0</v>
      </c>
      <c r="AT50" s="52">
        <v>0</v>
      </c>
      <c r="AU50" s="52">
        <v>0</v>
      </c>
      <c r="AV50" s="52">
        <v>0</v>
      </c>
      <c r="AW50" s="52">
        <v>0</v>
      </c>
      <c r="AX50" s="52">
        <v>0</v>
      </c>
    </row>
    <row r="51" spans="1:50" x14ac:dyDescent="0.25">
      <c r="A51" s="2" t="s">
        <v>51</v>
      </c>
      <c r="B51" s="2" t="s">
        <v>56</v>
      </c>
      <c r="C51">
        <v>28</v>
      </c>
      <c r="D51">
        <v>1</v>
      </c>
      <c r="E51" s="2">
        <v>31</v>
      </c>
      <c r="F51" s="2">
        <v>1</v>
      </c>
      <c r="G51" s="2">
        <v>82</v>
      </c>
      <c r="H51" s="2">
        <v>1</v>
      </c>
      <c r="I51" s="2">
        <v>178</v>
      </c>
      <c r="J51" s="2">
        <v>2</v>
      </c>
      <c r="K51" s="2">
        <v>221</v>
      </c>
      <c r="L51" s="2">
        <v>2</v>
      </c>
      <c r="M51" s="2">
        <v>361</v>
      </c>
      <c r="N51" s="2">
        <v>2</v>
      </c>
      <c r="O51" s="2">
        <v>488</v>
      </c>
      <c r="P51" s="2">
        <v>4</v>
      </c>
      <c r="Q51" s="2">
        <v>544</v>
      </c>
      <c r="R51" s="2">
        <v>6</v>
      </c>
      <c r="S51" s="2">
        <v>629</v>
      </c>
      <c r="T51" s="2">
        <v>9</v>
      </c>
      <c r="U51" s="2">
        <v>666</v>
      </c>
      <c r="V51" s="2">
        <v>11</v>
      </c>
      <c r="W51" s="60"/>
      <c r="X51" s="60"/>
      <c r="Y51" s="60"/>
      <c r="Z51" s="60"/>
      <c r="AA51" s="60"/>
      <c r="AB51" s="60"/>
      <c r="AC51" s="60"/>
      <c r="AD51" s="60"/>
      <c r="AE51" s="60"/>
      <c r="AF51" s="60"/>
      <c r="AG51" s="60"/>
      <c r="AH51" s="60"/>
      <c r="AI51" s="60"/>
      <c r="AJ51" s="60"/>
      <c r="AK51" s="60"/>
      <c r="AL51" s="60"/>
      <c r="AM51" s="60"/>
      <c r="AN51" s="56"/>
      <c r="AO51" s="60"/>
      <c r="AP51" s="60"/>
      <c r="AQ51" s="58">
        <v>0</v>
      </c>
      <c r="AR51" s="58">
        <v>0</v>
      </c>
      <c r="AS51" s="52">
        <v>0</v>
      </c>
      <c r="AT51" s="52">
        <v>0</v>
      </c>
      <c r="AU51" s="52">
        <v>0</v>
      </c>
      <c r="AV51" s="52">
        <v>0</v>
      </c>
      <c r="AW51" s="52">
        <v>0</v>
      </c>
      <c r="AX51" s="52">
        <v>0</v>
      </c>
    </row>
    <row r="52" spans="1:50" x14ac:dyDescent="0.25">
      <c r="A52" s="2" t="s">
        <v>51</v>
      </c>
      <c r="B52" s="2" t="s">
        <v>57</v>
      </c>
      <c r="C52">
        <v>1</v>
      </c>
      <c r="D52">
        <v>0</v>
      </c>
      <c r="E52" s="2">
        <v>1</v>
      </c>
      <c r="F52" s="2">
        <v>0</v>
      </c>
      <c r="G52" s="2">
        <v>5</v>
      </c>
      <c r="H52" s="2">
        <v>0</v>
      </c>
      <c r="I52" s="2">
        <v>29</v>
      </c>
      <c r="J52" s="2">
        <v>0</v>
      </c>
      <c r="K52" s="2">
        <v>78</v>
      </c>
      <c r="L52" s="2">
        <v>0</v>
      </c>
      <c r="M52" s="2">
        <v>882</v>
      </c>
      <c r="N52" s="2">
        <v>17</v>
      </c>
      <c r="O52" s="2">
        <v>1011</v>
      </c>
      <c r="P52" s="2">
        <v>18</v>
      </c>
      <c r="Q52" s="2">
        <v>1082</v>
      </c>
      <c r="R52" s="2">
        <v>18</v>
      </c>
      <c r="S52" s="2">
        <v>1325</v>
      </c>
      <c r="T52" s="2">
        <v>19</v>
      </c>
      <c r="U52" s="2">
        <v>1449</v>
      </c>
      <c r="V52" s="2">
        <v>20</v>
      </c>
      <c r="W52" s="60"/>
      <c r="X52" s="60"/>
      <c r="Y52" s="60"/>
      <c r="Z52" s="60"/>
      <c r="AA52" s="60"/>
      <c r="AB52" s="60"/>
      <c r="AC52" s="60"/>
      <c r="AD52" s="60"/>
      <c r="AE52" s="60"/>
      <c r="AF52" s="60"/>
      <c r="AG52" s="60"/>
      <c r="AH52" s="60"/>
      <c r="AI52" s="60"/>
      <c r="AJ52" s="60"/>
      <c r="AK52" s="60"/>
      <c r="AL52" s="60"/>
      <c r="AM52" s="60"/>
      <c r="AN52" s="56"/>
      <c r="AO52" s="60"/>
      <c r="AP52" s="60"/>
      <c r="AQ52" s="58">
        <v>0</v>
      </c>
      <c r="AR52" s="58">
        <v>0</v>
      </c>
      <c r="AS52" s="52">
        <v>0</v>
      </c>
      <c r="AT52" s="52">
        <v>0</v>
      </c>
      <c r="AU52" s="52">
        <v>0</v>
      </c>
      <c r="AV52" s="52">
        <v>0</v>
      </c>
      <c r="AW52" s="52">
        <v>0</v>
      </c>
      <c r="AX52" s="52">
        <v>0</v>
      </c>
    </row>
    <row r="53" spans="1:50" x14ac:dyDescent="0.25">
      <c r="A53" s="2" t="s">
        <v>51</v>
      </c>
      <c r="B53" s="2" t="s">
        <v>58</v>
      </c>
      <c r="E53" s="2"/>
      <c r="F53" s="2"/>
      <c r="G53" s="2"/>
      <c r="H53" s="2"/>
      <c r="I53" s="2"/>
      <c r="J53" s="2"/>
      <c r="K53" s="2"/>
      <c r="L53" s="2"/>
      <c r="M53" s="2"/>
      <c r="N53" s="2"/>
      <c r="O53" s="2"/>
      <c r="P53" s="2"/>
      <c r="Q53" s="2"/>
      <c r="R53" s="2"/>
      <c r="S53" s="2"/>
      <c r="T53" s="2"/>
      <c r="U53" s="2">
        <v>1</v>
      </c>
      <c r="V53" s="2">
        <v>0</v>
      </c>
      <c r="W53" s="2"/>
      <c r="X53" s="2"/>
      <c r="Y53" s="60"/>
      <c r="Z53" s="60"/>
      <c r="AA53" s="60"/>
      <c r="AB53" s="60"/>
      <c r="AC53" s="60"/>
      <c r="AD53" s="60"/>
      <c r="AE53" s="60"/>
      <c r="AF53" s="60"/>
      <c r="AG53" s="60"/>
      <c r="AH53" s="60"/>
      <c r="AI53" s="60"/>
      <c r="AJ53" s="60"/>
      <c r="AK53" s="60"/>
      <c r="AL53" s="60"/>
      <c r="AM53" s="60"/>
      <c r="AN53" s="56"/>
      <c r="AO53" s="60"/>
      <c r="AP53" s="60"/>
      <c r="AQ53" s="58">
        <v>0</v>
      </c>
      <c r="AR53" s="58">
        <v>0</v>
      </c>
      <c r="AS53" s="52">
        <v>0</v>
      </c>
      <c r="AT53" s="52">
        <v>0</v>
      </c>
      <c r="AU53" s="52">
        <v>0</v>
      </c>
      <c r="AV53" s="52">
        <v>0</v>
      </c>
      <c r="AW53" s="52">
        <v>0</v>
      </c>
      <c r="AX53" s="52">
        <v>0</v>
      </c>
    </row>
    <row r="54" spans="1:50" x14ac:dyDescent="0.25">
      <c r="A54" s="2" t="s">
        <v>51</v>
      </c>
      <c r="B54" s="2" t="s">
        <v>59</v>
      </c>
      <c r="E54" s="2"/>
      <c r="F54" s="2"/>
      <c r="G54" s="2"/>
      <c r="H54" s="2"/>
      <c r="I54" s="2"/>
      <c r="J54" s="2"/>
      <c r="K54" s="2"/>
      <c r="L54" s="2"/>
      <c r="M54" s="2"/>
      <c r="N54" s="2"/>
      <c r="O54" s="2"/>
      <c r="P54" s="2"/>
      <c r="Q54" s="2"/>
      <c r="R54" s="2"/>
      <c r="S54" s="2"/>
      <c r="T54" s="2"/>
      <c r="U54" s="2"/>
      <c r="V54" s="2"/>
      <c r="W54" s="60"/>
      <c r="X54" s="60"/>
      <c r="Y54" s="60"/>
      <c r="Z54" s="60"/>
      <c r="AA54" s="60"/>
      <c r="AB54" s="60"/>
      <c r="AC54" s="60"/>
      <c r="AD54" s="60"/>
      <c r="AE54" s="60"/>
      <c r="AF54" s="60"/>
      <c r="AG54" s="60"/>
      <c r="AH54" s="60"/>
      <c r="AI54" s="60"/>
      <c r="AJ54" s="60"/>
      <c r="AK54" s="60"/>
      <c r="AL54" s="60"/>
      <c r="AM54" s="60"/>
      <c r="AN54" s="60"/>
      <c r="AO54" s="60"/>
      <c r="AP54" s="60"/>
      <c r="AQ54" s="58">
        <v>0</v>
      </c>
      <c r="AR54" s="58">
        <v>0</v>
      </c>
      <c r="AS54" s="52">
        <v>0</v>
      </c>
      <c r="AT54" s="52">
        <v>0</v>
      </c>
      <c r="AU54" s="52">
        <v>0</v>
      </c>
      <c r="AV54" s="52">
        <v>0</v>
      </c>
      <c r="AW54" s="52">
        <v>0</v>
      </c>
      <c r="AX54" s="52">
        <v>0</v>
      </c>
    </row>
    <row r="55" spans="1:50" x14ac:dyDescent="0.25">
      <c r="A55" s="2" t="s">
        <v>51</v>
      </c>
      <c r="B55" s="2" t="s">
        <v>60</v>
      </c>
      <c r="C55">
        <v>504</v>
      </c>
      <c r="D55">
        <v>92</v>
      </c>
      <c r="E55" s="2">
        <v>925</v>
      </c>
      <c r="F55" s="2">
        <v>110</v>
      </c>
      <c r="G55" s="2">
        <v>1507</v>
      </c>
      <c r="H55" s="2">
        <v>120</v>
      </c>
      <c r="I55" s="2">
        <v>1909</v>
      </c>
      <c r="J55" s="2">
        <v>150</v>
      </c>
      <c r="K55" s="2">
        <v>1989</v>
      </c>
      <c r="L55" s="2">
        <v>160</v>
      </c>
      <c r="M55" s="2">
        <v>2211</v>
      </c>
      <c r="N55" s="2">
        <v>194</v>
      </c>
      <c r="O55" s="2">
        <v>2332</v>
      </c>
      <c r="P55" s="2">
        <v>207</v>
      </c>
      <c r="Q55" s="2">
        <v>2408</v>
      </c>
      <c r="R55" s="2">
        <v>218</v>
      </c>
      <c r="S55" s="2">
        <v>2532</v>
      </c>
      <c r="T55" s="2">
        <v>233</v>
      </c>
      <c r="U55" s="2">
        <v>2671</v>
      </c>
      <c r="V55" s="2">
        <v>245</v>
      </c>
      <c r="W55" s="60"/>
      <c r="X55" s="60"/>
      <c r="Y55" s="60"/>
      <c r="Z55" s="60"/>
      <c r="AA55" s="60"/>
      <c r="AB55" s="60"/>
      <c r="AC55" s="60"/>
      <c r="AD55" s="60"/>
      <c r="AE55" s="60"/>
      <c r="AF55" s="60"/>
      <c r="AG55" s="60"/>
      <c r="AH55" s="60"/>
      <c r="AI55" s="60"/>
      <c r="AJ55" s="60"/>
      <c r="AK55" s="60"/>
      <c r="AL55" s="60"/>
      <c r="AM55" s="60"/>
      <c r="AN55" s="56"/>
      <c r="AO55" s="60"/>
      <c r="AP55" s="60"/>
      <c r="AQ55" s="58">
        <v>0</v>
      </c>
      <c r="AR55" s="58">
        <v>0</v>
      </c>
      <c r="AS55" s="52">
        <v>0</v>
      </c>
      <c r="AT55" s="52">
        <v>0</v>
      </c>
      <c r="AU55" s="52">
        <v>0</v>
      </c>
      <c r="AV55" s="52">
        <v>0</v>
      </c>
      <c r="AW55" s="52">
        <v>0</v>
      </c>
      <c r="AX55" s="52">
        <v>0</v>
      </c>
    </row>
    <row r="56" spans="1:50" x14ac:dyDescent="0.25">
      <c r="A56" s="2" t="s">
        <v>51</v>
      </c>
      <c r="B56" s="2" t="s">
        <v>61</v>
      </c>
      <c r="C56">
        <v>20</v>
      </c>
      <c r="D56">
        <v>2</v>
      </c>
      <c r="E56" s="2">
        <v>23</v>
      </c>
      <c r="F56" s="2">
        <v>2</v>
      </c>
      <c r="G56" s="2">
        <v>25</v>
      </c>
      <c r="H56" s="2">
        <v>2</v>
      </c>
      <c r="I56" s="2">
        <v>28</v>
      </c>
      <c r="J56" s="2">
        <v>4</v>
      </c>
      <c r="K56" s="2">
        <v>29</v>
      </c>
      <c r="L56" s="2">
        <v>8</v>
      </c>
      <c r="M56" s="2">
        <v>34</v>
      </c>
      <c r="N56" s="2">
        <v>12</v>
      </c>
      <c r="O56" s="2">
        <v>41</v>
      </c>
      <c r="P56" s="2">
        <v>14</v>
      </c>
      <c r="Q56" s="2">
        <v>50</v>
      </c>
      <c r="R56" s="2">
        <v>15</v>
      </c>
      <c r="S56" s="2">
        <v>57</v>
      </c>
      <c r="T56" s="2">
        <v>17</v>
      </c>
      <c r="U56" s="2">
        <v>63</v>
      </c>
      <c r="V56" s="2">
        <v>21</v>
      </c>
      <c r="W56" s="60"/>
      <c r="X56" s="60"/>
      <c r="Y56" s="60"/>
      <c r="Z56" s="60"/>
      <c r="AA56" s="60"/>
      <c r="AB56" s="60"/>
      <c r="AC56" s="60"/>
      <c r="AD56" s="60"/>
      <c r="AE56" s="60"/>
      <c r="AF56" s="60"/>
      <c r="AG56" s="60"/>
      <c r="AH56" s="60"/>
      <c r="AI56" s="60"/>
      <c r="AJ56" s="60"/>
      <c r="AK56" s="60"/>
      <c r="AL56" s="60"/>
      <c r="AM56" s="60"/>
      <c r="AN56" s="56"/>
      <c r="AO56" s="60"/>
      <c r="AP56" s="60"/>
      <c r="AQ56" s="58">
        <v>0</v>
      </c>
      <c r="AR56" s="58">
        <v>0</v>
      </c>
      <c r="AS56" s="52">
        <v>0</v>
      </c>
      <c r="AT56" s="52">
        <v>0</v>
      </c>
      <c r="AU56" s="52">
        <v>0</v>
      </c>
      <c r="AV56" s="52">
        <v>0</v>
      </c>
      <c r="AW56" s="52">
        <v>0</v>
      </c>
      <c r="AX56" s="52">
        <v>0</v>
      </c>
    </row>
    <row r="57" spans="1:50" x14ac:dyDescent="0.25">
      <c r="A57" s="2" t="s">
        <v>51</v>
      </c>
      <c r="B57" s="2" t="s">
        <v>62</v>
      </c>
      <c r="C57">
        <v>7</v>
      </c>
      <c r="D57">
        <v>3</v>
      </c>
      <c r="E57" s="2">
        <v>7</v>
      </c>
      <c r="F57" s="2">
        <v>3</v>
      </c>
      <c r="G57" s="2">
        <v>8</v>
      </c>
      <c r="H57" s="2">
        <v>3</v>
      </c>
      <c r="I57" s="2">
        <v>11</v>
      </c>
      <c r="J57" s="2">
        <v>3</v>
      </c>
      <c r="K57" s="2">
        <v>58</v>
      </c>
      <c r="L57" s="2">
        <v>3</v>
      </c>
      <c r="M57" s="2">
        <v>84</v>
      </c>
      <c r="N57" s="2">
        <v>3</v>
      </c>
      <c r="O57" s="2">
        <v>161</v>
      </c>
      <c r="P57" s="2">
        <v>4</v>
      </c>
      <c r="Q57" s="2">
        <v>187</v>
      </c>
      <c r="R57" s="2">
        <v>4</v>
      </c>
      <c r="S57" s="2">
        <v>242</v>
      </c>
      <c r="T57" s="2">
        <v>6</v>
      </c>
      <c r="U57" s="2">
        <v>258</v>
      </c>
      <c r="V57" s="2">
        <v>6</v>
      </c>
      <c r="W57" s="60"/>
      <c r="X57" s="60"/>
      <c r="Y57" s="60"/>
      <c r="Z57" s="60"/>
      <c r="AA57" s="60"/>
      <c r="AB57" s="60"/>
      <c r="AC57" s="60"/>
      <c r="AD57" s="60"/>
      <c r="AE57" s="60"/>
      <c r="AF57" s="60"/>
      <c r="AG57" s="60"/>
      <c r="AH57" s="60"/>
      <c r="AI57" s="60"/>
      <c r="AJ57" s="60"/>
      <c r="AK57" s="60"/>
      <c r="AL57" s="60"/>
      <c r="AM57" s="60"/>
      <c r="AN57" s="56"/>
      <c r="AO57" s="60"/>
      <c r="AP57" s="60"/>
      <c r="AQ57" s="58">
        <v>0</v>
      </c>
      <c r="AR57" s="58">
        <v>0</v>
      </c>
      <c r="AS57" s="52">
        <v>0</v>
      </c>
      <c r="AT57" s="52">
        <v>0</v>
      </c>
      <c r="AU57" s="52">
        <v>0</v>
      </c>
      <c r="AV57" s="52">
        <v>0</v>
      </c>
      <c r="AW57" s="52">
        <v>0</v>
      </c>
      <c r="AX57" s="52">
        <v>0</v>
      </c>
    </row>
    <row r="58" spans="1:50" s="50" customFormat="1" x14ac:dyDescent="0.25">
      <c r="A58" s="15" t="s">
        <v>51</v>
      </c>
      <c r="B58" s="15" t="s">
        <v>63</v>
      </c>
      <c r="C58" s="50">
        <v>472</v>
      </c>
      <c r="D58" s="50">
        <v>9</v>
      </c>
      <c r="E58" s="15">
        <v>852</v>
      </c>
      <c r="F58" s="15">
        <v>12</v>
      </c>
      <c r="G58" s="15">
        <v>1200</v>
      </c>
      <c r="H58" s="15">
        <v>15</v>
      </c>
      <c r="I58" s="15">
        <v>1600</v>
      </c>
      <c r="J58" s="15">
        <v>20</v>
      </c>
      <c r="K58" s="15">
        <v>1751</v>
      </c>
      <c r="L58" s="15">
        <v>21</v>
      </c>
      <c r="M58" s="15">
        <v>2109</v>
      </c>
      <c r="N58" s="15">
        <v>28</v>
      </c>
      <c r="O58" s="15">
        <v>2283</v>
      </c>
      <c r="P58" s="15">
        <v>45</v>
      </c>
      <c r="Q58" s="15">
        <v>2369</v>
      </c>
      <c r="R58" s="15">
        <v>55</v>
      </c>
      <c r="S58" s="15">
        <v>2505</v>
      </c>
      <c r="T58" s="15">
        <v>64</v>
      </c>
      <c r="U58" s="15">
        <v>2613</v>
      </c>
      <c r="V58" s="15">
        <v>69</v>
      </c>
      <c r="W58" s="16">
        <v>79</v>
      </c>
      <c r="X58" s="16">
        <v>4</v>
      </c>
      <c r="Y58" s="16">
        <v>97</v>
      </c>
      <c r="Z58" s="16">
        <v>4</v>
      </c>
      <c r="AA58" s="16">
        <v>122</v>
      </c>
      <c r="AB58" s="16">
        <v>5</v>
      </c>
      <c r="AC58" s="16">
        <v>155</v>
      </c>
      <c r="AD58" s="16">
        <v>7</v>
      </c>
      <c r="AE58" s="16">
        <v>220</v>
      </c>
      <c r="AF58" s="16">
        <v>8</v>
      </c>
      <c r="AG58" s="16">
        <v>361</v>
      </c>
      <c r="AH58" s="16">
        <v>16</v>
      </c>
      <c r="AI58" s="16">
        <v>455</v>
      </c>
      <c r="AJ58" s="16">
        <v>20</v>
      </c>
      <c r="AK58" s="16">
        <v>487</v>
      </c>
      <c r="AL58" s="16">
        <v>22</v>
      </c>
      <c r="AM58" s="16">
        <v>500</v>
      </c>
      <c r="AN58" s="59">
        <v>24</v>
      </c>
      <c r="AO58" s="16">
        <v>517</v>
      </c>
      <c r="AP58" s="16">
        <v>24</v>
      </c>
      <c r="AQ58" s="58">
        <v>0</v>
      </c>
      <c r="AR58" s="58">
        <v>0</v>
      </c>
      <c r="AS58" s="52">
        <v>0</v>
      </c>
      <c r="AT58" s="52">
        <v>0</v>
      </c>
      <c r="AU58" s="52">
        <v>0</v>
      </c>
      <c r="AV58" s="52">
        <v>0</v>
      </c>
      <c r="AW58" s="52">
        <v>0</v>
      </c>
      <c r="AX58" s="52">
        <v>0</v>
      </c>
    </row>
    <row r="59" spans="1:50" x14ac:dyDescent="0.25">
      <c r="A59" s="2" t="s">
        <v>64</v>
      </c>
      <c r="B59" s="2" t="s">
        <v>65</v>
      </c>
      <c r="C59" s="13">
        <v>2</v>
      </c>
      <c r="D59" s="13">
        <v>0</v>
      </c>
      <c r="E59" s="13">
        <v>2</v>
      </c>
      <c r="F59" s="13">
        <v>0</v>
      </c>
      <c r="G59" s="13">
        <v>2</v>
      </c>
      <c r="H59" s="13">
        <v>0</v>
      </c>
      <c r="I59" s="13">
        <v>2</v>
      </c>
      <c r="J59" s="13">
        <v>0</v>
      </c>
      <c r="K59" s="13">
        <v>2</v>
      </c>
      <c r="L59" s="13">
        <v>0</v>
      </c>
      <c r="M59" s="13">
        <v>2</v>
      </c>
      <c r="N59" s="13">
        <v>0</v>
      </c>
      <c r="O59" s="13">
        <v>11</v>
      </c>
      <c r="P59" s="13">
        <v>0</v>
      </c>
      <c r="Q59" s="13">
        <v>28</v>
      </c>
      <c r="R59" s="13">
        <v>0</v>
      </c>
      <c r="S59" s="13">
        <v>59</v>
      </c>
      <c r="T59" s="13">
        <v>0</v>
      </c>
      <c r="U59" s="13">
        <v>102</v>
      </c>
      <c r="V59" s="13">
        <v>0</v>
      </c>
      <c r="W59" s="52">
        <v>0</v>
      </c>
      <c r="X59" s="52">
        <v>0</v>
      </c>
      <c r="Y59" s="52">
        <v>0</v>
      </c>
      <c r="Z59" s="52">
        <v>0</v>
      </c>
      <c r="AA59" s="52">
        <v>0</v>
      </c>
      <c r="AB59" s="52">
        <v>0</v>
      </c>
      <c r="AC59" s="52">
        <v>0</v>
      </c>
      <c r="AD59" s="52">
        <v>0</v>
      </c>
      <c r="AE59" s="52">
        <v>0</v>
      </c>
      <c r="AF59" s="52">
        <v>0</v>
      </c>
      <c r="AG59" s="58">
        <v>0</v>
      </c>
      <c r="AH59" s="58">
        <v>0</v>
      </c>
      <c r="AI59" s="58">
        <v>0</v>
      </c>
      <c r="AJ59" s="58">
        <v>0</v>
      </c>
      <c r="AK59" s="58">
        <v>0</v>
      </c>
      <c r="AL59" s="58">
        <v>0</v>
      </c>
      <c r="AM59" s="58">
        <v>0</v>
      </c>
      <c r="AN59" s="58">
        <v>0</v>
      </c>
      <c r="AO59" s="58">
        <v>0</v>
      </c>
      <c r="AP59" s="58">
        <v>0</v>
      </c>
      <c r="AQ59" s="58">
        <v>0</v>
      </c>
      <c r="AR59" s="58">
        <v>0</v>
      </c>
      <c r="AS59" s="52">
        <v>0</v>
      </c>
      <c r="AT59" s="52">
        <v>0</v>
      </c>
      <c r="AU59" s="52">
        <v>0</v>
      </c>
      <c r="AV59" s="52">
        <v>0</v>
      </c>
      <c r="AW59" s="52">
        <v>0</v>
      </c>
      <c r="AX59" s="52">
        <v>0</v>
      </c>
    </row>
    <row r="60" spans="1:50" x14ac:dyDescent="0.25">
      <c r="A60" s="2" t="s">
        <v>64</v>
      </c>
      <c r="B60" s="2" t="s">
        <v>129</v>
      </c>
      <c r="W60" s="52">
        <v>0</v>
      </c>
      <c r="X60" s="52">
        <v>0</v>
      </c>
      <c r="Y60" s="52">
        <v>0</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0</v>
      </c>
      <c r="AQ60" s="52">
        <v>0</v>
      </c>
      <c r="AR60" s="52">
        <v>0</v>
      </c>
      <c r="AS60" s="52">
        <v>0</v>
      </c>
      <c r="AT60" s="52">
        <v>0</v>
      </c>
      <c r="AU60" s="52">
        <v>0</v>
      </c>
      <c r="AV60" s="52">
        <v>0</v>
      </c>
      <c r="AW60" s="52">
        <v>0</v>
      </c>
      <c r="AX60" s="52">
        <v>0</v>
      </c>
    </row>
    <row r="61" spans="1:50" x14ac:dyDescent="0.25">
      <c r="A61" s="2" t="s">
        <v>64</v>
      </c>
      <c r="B61" s="2" t="s">
        <v>64</v>
      </c>
      <c r="C61">
        <v>7</v>
      </c>
      <c r="D61">
        <v>2</v>
      </c>
      <c r="E61">
        <v>10</v>
      </c>
      <c r="F61">
        <v>2</v>
      </c>
      <c r="G61">
        <v>12</v>
      </c>
      <c r="H61">
        <v>3</v>
      </c>
      <c r="I61">
        <v>13</v>
      </c>
      <c r="J61">
        <v>4</v>
      </c>
      <c r="K61">
        <v>14</v>
      </c>
      <c r="L61">
        <v>4</v>
      </c>
      <c r="M61">
        <v>14</v>
      </c>
      <c r="N61">
        <v>4</v>
      </c>
      <c r="O61">
        <v>22</v>
      </c>
      <c r="P61">
        <v>5</v>
      </c>
      <c r="Q61">
        <v>35</v>
      </c>
      <c r="R61">
        <v>7</v>
      </c>
      <c r="S61">
        <v>144</v>
      </c>
      <c r="T61">
        <v>48</v>
      </c>
      <c r="U61">
        <v>343</v>
      </c>
      <c r="V61">
        <v>218</v>
      </c>
      <c r="W61" s="52">
        <v>0</v>
      </c>
      <c r="X61" s="52">
        <v>0</v>
      </c>
      <c r="Y61" s="52">
        <v>0</v>
      </c>
      <c r="Z61" s="52">
        <v>0</v>
      </c>
      <c r="AA61" s="52">
        <v>0</v>
      </c>
      <c r="AB61" s="52">
        <v>0</v>
      </c>
      <c r="AC61" s="52">
        <v>0</v>
      </c>
      <c r="AD61" s="52">
        <v>0</v>
      </c>
      <c r="AE61" s="52">
        <v>0</v>
      </c>
      <c r="AF61" s="52">
        <v>0</v>
      </c>
      <c r="AG61" s="52">
        <v>0</v>
      </c>
      <c r="AH61" s="52">
        <v>0</v>
      </c>
      <c r="AI61" s="52">
        <v>0</v>
      </c>
      <c r="AJ61" s="52">
        <v>0</v>
      </c>
      <c r="AK61" s="52">
        <v>0</v>
      </c>
      <c r="AL61" s="52">
        <v>0</v>
      </c>
      <c r="AM61" s="52">
        <v>0</v>
      </c>
      <c r="AN61" s="52">
        <v>0</v>
      </c>
      <c r="AO61" s="52">
        <v>0</v>
      </c>
      <c r="AP61" s="52">
        <v>0</v>
      </c>
      <c r="AQ61" s="52">
        <v>0</v>
      </c>
      <c r="AR61" s="52">
        <v>0</v>
      </c>
      <c r="AS61" s="52">
        <v>0</v>
      </c>
      <c r="AT61" s="52">
        <v>0</v>
      </c>
      <c r="AU61" s="52">
        <v>0</v>
      </c>
      <c r="AV61" s="52">
        <v>0</v>
      </c>
      <c r="AW61" s="52">
        <v>0</v>
      </c>
      <c r="AX61" s="52">
        <v>0</v>
      </c>
    </row>
    <row r="62" spans="1:50" x14ac:dyDescent="0.25">
      <c r="A62" s="2" t="s">
        <v>64</v>
      </c>
      <c r="B62" s="2" t="s">
        <v>130</v>
      </c>
      <c r="W62" s="52">
        <v>0</v>
      </c>
      <c r="X62" s="52">
        <v>0</v>
      </c>
      <c r="Y62" s="52">
        <v>0</v>
      </c>
      <c r="Z62" s="52">
        <v>0</v>
      </c>
      <c r="AA62" s="52">
        <v>0</v>
      </c>
      <c r="AB62" s="52">
        <v>0</v>
      </c>
      <c r="AC62" s="52">
        <v>0</v>
      </c>
      <c r="AD62" s="52">
        <v>0</v>
      </c>
      <c r="AE62" s="52">
        <v>0</v>
      </c>
      <c r="AF62" s="52">
        <v>0</v>
      </c>
      <c r="AG62" s="52">
        <v>0</v>
      </c>
      <c r="AH62" s="52">
        <v>0</v>
      </c>
      <c r="AI62" s="52">
        <v>0</v>
      </c>
      <c r="AJ62" s="52">
        <v>0</v>
      </c>
      <c r="AK62" s="52">
        <v>0</v>
      </c>
      <c r="AL62" s="52">
        <v>0</v>
      </c>
      <c r="AM62" s="52">
        <v>0</v>
      </c>
      <c r="AN62" s="52">
        <v>0</v>
      </c>
      <c r="AO62" s="52">
        <v>0</v>
      </c>
      <c r="AP62" s="52">
        <v>0</v>
      </c>
      <c r="AQ62" s="52">
        <v>0</v>
      </c>
      <c r="AR62" s="52">
        <v>0</v>
      </c>
      <c r="AS62" s="52">
        <v>0</v>
      </c>
      <c r="AT62" s="52">
        <v>0</v>
      </c>
      <c r="AU62" s="52">
        <v>0</v>
      </c>
      <c r="AV62" s="52">
        <v>0</v>
      </c>
      <c r="AW62" s="52">
        <v>0</v>
      </c>
      <c r="AX62" s="52">
        <v>0</v>
      </c>
    </row>
    <row r="63" spans="1:50" x14ac:dyDescent="0.25">
      <c r="A63" s="2" t="s">
        <v>64</v>
      </c>
      <c r="B63" s="2" t="s">
        <v>66</v>
      </c>
      <c r="C63">
        <v>8</v>
      </c>
      <c r="D63">
        <v>1</v>
      </c>
      <c r="E63">
        <v>120</v>
      </c>
      <c r="F63">
        <v>4</v>
      </c>
      <c r="G63">
        <v>136</v>
      </c>
      <c r="H63">
        <v>4</v>
      </c>
      <c r="I63">
        <v>143</v>
      </c>
      <c r="J63">
        <v>4</v>
      </c>
      <c r="K63">
        <v>144</v>
      </c>
      <c r="L63">
        <v>4</v>
      </c>
      <c r="M63">
        <v>154</v>
      </c>
      <c r="N63">
        <v>4</v>
      </c>
      <c r="O63">
        <v>158</v>
      </c>
      <c r="P63">
        <v>4</v>
      </c>
      <c r="Q63">
        <v>158</v>
      </c>
      <c r="R63">
        <v>4</v>
      </c>
      <c r="S63">
        <v>160</v>
      </c>
      <c r="T63">
        <v>4</v>
      </c>
      <c r="U63">
        <v>161</v>
      </c>
      <c r="V63">
        <v>4</v>
      </c>
      <c r="W63" s="52">
        <v>0</v>
      </c>
      <c r="X63" s="52">
        <v>0</v>
      </c>
      <c r="Y63" s="52">
        <v>0</v>
      </c>
      <c r="Z63" s="52">
        <v>0</v>
      </c>
      <c r="AA63" s="52">
        <v>0</v>
      </c>
      <c r="AB63" s="52">
        <v>0</v>
      </c>
      <c r="AC63" s="52">
        <v>0</v>
      </c>
      <c r="AD63" s="52">
        <v>0</v>
      </c>
      <c r="AE63" s="52">
        <v>0</v>
      </c>
      <c r="AF63" s="52">
        <v>0</v>
      </c>
      <c r="AG63" s="52">
        <v>0</v>
      </c>
      <c r="AH63" s="52">
        <v>0</v>
      </c>
      <c r="AI63" s="52">
        <v>0</v>
      </c>
      <c r="AJ63" s="52">
        <v>0</v>
      </c>
      <c r="AK63" s="52">
        <v>0</v>
      </c>
      <c r="AL63" s="52">
        <v>0</v>
      </c>
      <c r="AM63" s="52">
        <v>0</v>
      </c>
      <c r="AN63" s="52">
        <v>0</v>
      </c>
      <c r="AO63" s="52">
        <v>0</v>
      </c>
      <c r="AP63" s="52">
        <v>0</v>
      </c>
      <c r="AQ63" s="52">
        <v>0</v>
      </c>
      <c r="AR63" s="52">
        <v>0</v>
      </c>
      <c r="AS63" s="52">
        <v>0</v>
      </c>
      <c r="AT63" s="52">
        <v>0</v>
      </c>
      <c r="AU63" s="52">
        <v>0</v>
      </c>
      <c r="AV63" s="52">
        <v>0</v>
      </c>
      <c r="AW63" s="52">
        <v>0</v>
      </c>
      <c r="AX63" s="52">
        <v>0</v>
      </c>
    </row>
    <row r="64" spans="1:50" s="50" customFormat="1" x14ac:dyDescent="0.25">
      <c r="A64" s="15" t="s">
        <v>64</v>
      </c>
      <c r="B64" s="15" t="s">
        <v>67</v>
      </c>
      <c r="W64" s="54">
        <v>0</v>
      </c>
      <c r="X64" s="54">
        <v>0</v>
      </c>
      <c r="Y64" s="54">
        <v>0</v>
      </c>
      <c r="Z64" s="54">
        <v>0</v>
      </c>
      <c r="AA64" s="54">
        <v>0</v>
      </c>
      <c r="AB64" s="54">
        <v>0</v>
      </c>
      <c r="AC64" s="54">
        <v>0</v>
      </c>
      <c r="AD64" s="54">
        <v>0</v>
      </c>
      <c r="AE64" s="54">
        <v>0</v>
      </c>
      <c r="AF64" s="54">
        <v>0</v>
      </c>
      <c r="AG64" s="54">
        <v>0</v>
      </c>
      <c r="AH64" s="54">
        <v>0</v>
      </c>
      <c r="AI64" s="54">
        <v>0</v>
      </c>
      <c r="AJ64" s="54">
        <v>0</v>
      </c>
      <c r="AK64" s="54">
        <v>0</v>
      </c>
      <c r="AL64" s="54">
        <v>0</v>
      </c>
      <c r="AM64" s="54">
        <v>0</v>
      </c>
      <c r="AN64" s="54">
        <v>0</v>
      </c>
      <c r="AO64" s="54">
        <v>0</v>
      </c>
      <c r="AP64" s="54">
        <v>0</v>
      </c>
      <c r="AQ64" s="54">
        <v>0</v>
      </c>
      <c r="AR64" s="54">
        <v>0</v>
      </c>
      <c r="AS64" s="54">
        <v>0</v>
      </c>
      <c r="AT64" s="54">
        <v>0</v>
      </c>
      <c r="AU64" s="54">
        <v>0</v>
      </c>
      <c r="AV64" s="54">
        <v>0</v>
      </c>
      <c r="AW64" s="54">
        <v>0</v>
      </c>
      <c r="AX64" s="54">
        <v>0</v>
      </c>
    </row>
    <row r="65" spans="1:50" s="62" customFormat="1" x14ac:dyDescent="0.25">
      <c r="A65" s="19" t="s">
        <v>68</v>
      </c>
      <c r="B65" s="19" t="s">
        <v>68</v>
      </c>
      <c r="C65" s="62">
        <v>0</v>
      </c>
      <c r="D65" s="62">
        <v>0</v>
      </c>
      <c r="E65" s="62">
        <v>0</v>
      </c>
      <c r="F65" s="62">
        <v>0</v>
      </c>
      <c r="G65" s="62">
        <v>0</v>
      </c>
      <c r="H65" s="62">
        <v>262</v>
      </c>
      <c r="I65" s="62">
        <v>0</v>
      </c>
      <c r="J65" s="62">
        <v>277</v>
      </c>
      <c r="K65" s="62">
        <v>0</v>
      </c>
      <c r="L65" s="62">
        <v>720</v>
      </c>
      <c r="M65" s="62">
        <v>63</v>
      </c>
      <c r="N65" s="62">
        <v>2552</v>
      </c>
      <c r="O65" s="62">
        <v>128</v>
      </c>
      <c r="P65" s="62">
        <v>2888</v>
      </c>
      <c r="Q65" s="62">
        <v>159</v>
      </c>
      <c r="R65" s="62">
        <v>3320</v>
      </c>
      <c r="S65" s="62">
        <v>273</v>
      </c>
      <c r="T65" s="62">
        <v>4481</v>
      </c>
      <c r="U65" s="62">
        <v>338</v>
      </c>
      <c r="V65" s="62">
        <v>4917</v>
      </c>
      <c r="W65" s="63">
        <v>0</v>
      </c>
      <c r="X65" s="63">
        <v>0</v>
      </c>
      <c r="Y65" s="63">
        <v>0</v>
      </c>
      <c r="Z65" s="63">
        <v>0</v>
      </c>
      <c r="AA65" s="63">
        <v>0</v>
      </c>
      <c r="AB65" s="63">
        <v>0</v>
      </c>
      <c r="AC65" s="63">
        <v>0</v>
      </c>
      <c r="AD65" s="63">
        <v>0</v>
      </c>
      <c r="AE65" s="63">
        <v>0</v>
      </c>
      <c r="AF65" s="63">
        <v>0</v>
      </c>
      <c r="AG65" s="63">
        <v>0</v>
      </c>
      <c r="AH65" s="63">
        <v>0</v>
      </c>
      <c r="AI65" s="63">
        <v>0</v>
      </c>
      <c r="AJ65" s="63">
        <v>0</v>
      </c>
      <c r="AK65" s="63">
        <v>0</v>
      </c>
      <c r="AL65" s="63">
        <v>0</v>
      </c>
      <c r="AM65" s="63">
        <v>0</v>
      </c>
      <c r="AN65" s="63">
        <v>0</v>
      </c>
      <c r="AO65" s="63">
        <v>0</v>
      </c>
      <c r="AP65" s="63">
        <v>0</v>
      </c>
      <c r="AQ65" s="54">
        <v>0</v>
      </c>
      <c r="AR65" s="54">
        <v>0</v>
      </c>
      <c r="AS65" s="54">
        <v>0</v>
      </c>
      <c r="AT65" s="54">
        <v>0</v>
      </c>
      <c r="AU65" s="54">
        <v>0</v>
      </c>
      <c r="AV65" s="54">
        <v>0</v>
      </c>
      <c r="AW65" s="54">
        <v>0</v>
      </c>
      <c r="AX65" s="54">
        <v>0</v>
      </c>
    </row>
    <row r="66" spans="1:50" x14ac:dyDescent="0.25">
      <c r="A66" s="2" t="s">
        <v>69</v>
      </c>
      <c r="B66" s="2" t="s">
        <v>70</v>
      </c>
      <c r="AQ66" s="58">
        <v>0</v>
      </c>
      <c r="AR66" s="58">
        <v>0</v>
      </c>
      <c r="AS66" s="58">
        <v>0</v>
      </c>
      <c r="AT66" s="58">
        <v>0</v>
      </c>
      <c r="AU66" s="58">
        <v>0</v>
      </c>
      <c r="AV66" s="58">
        <v>0</v>
      </c>
      <c r="AW66" s="58">
        <v>0</v>
      </c>
      <c r="AX66" s="58">
        <v>0</v>
      </c>
    </row>
    <row r="67" spans="1:50" x14ac:dyDescent="0.25">
      <c r="A67" s="2" t="s">
        <v>69</v>
      </c>
      <c r="B67" s="2" t="s">
        <v>71</v>
      </c>
      <c r="G67">
        <v>91</v>
      </c>
      <c r="H67">
        <v>0</v>
      </c>
      <c r="I67">
        <v>122</v>
      </c>
      <c r="J67">
        <v>0</v>
      </c>
      <c r="K67">
        <v>170</v>
      </c>
      <c r="L67">
        <v>0</v>
      </c>
      <c r="M67">
        <v>459</v>
      </c>
      <c r="N67">
        <v>28</v>
      </c>
      <c r="O67">
        <v>577</v>
      </c>
      <c r="P67">
        <v>35</v>
      </c>
      <c r="Q67">
        <v>606</v>
      </c>
      <c r="R67">
        <v>45</v>
      </c>
      <c r="S67">
        <v>640</v>
      </c>
      <c r="T67">
        <v>49</v>
      </c>
      <c r="U67">
        <v>657</v>
      </c>
      <c r="V67">
        <v>57</v>
      </c>
      <c r="AQ67" s="58">
        <v>0</v>
      </c>
      <c r="AR67" s="58">
        <v>0</v>
      </c>
      <c r="AS67" s="58">
        <v>0</v>
      </c>
      <c r="AT67" s="58">
        <v>0</v>
      </c>
      <c r="AU67" s="58">
        <v>0</v>
      </c>
      <c r="AV67" s="58">
        <v>0</v>
      </c>
      <c r="AW67" s="58">
        <v>0</v>
      </c>
      <c r="AX67" s="58">
        <v>0</v>
      </c>
    </row>
    <row r="68" spans="1:50" x14ac:dyDescent="0.25">
      <c r="A68" s="2" t="s">
        <v>69</v>
      </c>
      <c r="B68" s="2" t="s">
        <v>72</v>
      </c>
      <c r="S68">
        <v>1</v>
      </c>
      <c r="T68">
        <v>0</v>
      </c>
      <c r="U68">
        <v>1</v>
      </c>
      <c r="V68">
        <v>0</v>
      </c>
      <c r="AQ68" s="58">
        <v>0</v>
      </c>
      <c r="AR68" s="58">
        <v>0</v>
      </c>
      <c r="AS68" s="58">
        <v>0</v>
      </c>
      <c r="AT68" s="58">
        <v>0</v>
      </c>
      <c r="AU68" s="58">
        <v>0</v>
      </c>
      <c r="AV68" s="58">
        <v>0</v>
      </c>
      <c r="AW68" s="58">
        <v>0</v>
      </c>
      <c r="AX68" s="58">
        <v>0</v>
      </c>
    </row>
    <row r="69" spans="1:50" x14ac:dyDescent="0.25">
      <c r="A69" s="2" t="s">
        <v>69</v>
      </c>
      <c r="B69" s="2" t="s">
        <v>132</v>
      </c>
      <c r="G69">
        <v>10</v>
      </c>
      <c r="H69">
        <v>3</v>
      </c>
      <c r="I69">
        <v>18</v>
      </c>
      <c r="J69">
        <v>6</v>
      </c>
      <c r="K69">
        <v>21</v>
      </c>
      <c r="L69">
        <v>6</v>
      </c>
      <c r="M69">
        <v>113</v>
      </c>
      <c r="N69">
        <v>30</v>
      </c>
      <c r="O69">
        <v>210</v>
      </c>
      <c r="P69">
        <v>73</v>
      </c>
      <c r="Q69">
        <v>310</v>
      </c>
      <c r="R69">
        <v>87</v>
      </c>
      <c r="S69">
        <v>586</v>
      </c>
      <c r="T69">
        <v>133</v>
      </c>
      <c r="U69">
        <v>730</v>
      </c>
      <c r="V69">
        <v>149</v>
      </c>
      <c r="AQ69" s="58">
        <v>0</v>
      </c>
      <c r="AR69" s="58">
        <v>0</v>
      </c>
      <c r="AS69" s="58">
        <v>0</v>
      </c>
      <c r="AT69" s="58">
        <v>0</v>
      </c>
      <c r="AU69" s="58">
        <v>0</v>
      </c>
      <c r="AV69" s="58">
        <v>0</v>
      </c>
      <c r="AW69" s="58">
        <v>0</v>
      </c>
      <c r="AX69" s="58">
        <v>0</v>
      </c>
    </row>
    <row r="70" spans="1:50" x14ac:dyDescent="0.25">
      <c r="A70" s="2" t="s">
        <v>69</v>
      </c>
      <c r="B70" s="2" t="s">
        <v>73</v>
      </c>
      <c r="AQ70" s="58">
        <v>0</v>
      </c>
      <c r="AR70" s="58">
        <v>0</v>
      </c>
      <c r="AS70" s="58">
        <v>0</v>
      </c>
      <c r="AT70" s="58">
        <v>0</v>
      </c>
      <c r="AU70" s="58">
        <v>0</v>
      </c>
      <c r="AV70" s="58">
        <v>0</v>
      </c>
      <c r="AW70" s="58">
        <v>0</v>
      </c>
      <c r="AX70" s="58">
        <v>0</v>
      </c>
    </row>
    <row r="71" spans="1:50" x14ac:dyDescent="0.25">
      <c r="A71" s="2" t="s">
        <v>69</v>
      </c>
      <c r="B71" s="2" t="s">
        <v>74</v>
      </c>
      <c r="AQ71" s="58">
        <v>0</v>
      </c>
      <c r="AR71" s="58">
        <v>0</v>
      </c>
      <c r="AS71" s="58">
        <v>0</v>
      </c>
      <c r="AT71" s="58">
        <v>0</v>
      </c>
      <c r="AU71" s="58">
        <v>0</v>
      </c>
      <c r="AV71" s="58">
        <v>0</v>
      </c>
      <c r="AW71" s="58">
        <v>0</v>
      </c>
      <c r="AX71" s="58">
        <v>0</v>
      </c>
    </row>
    <row r="72" spans="1:50" x14ac:dyDescent="0.25">
      <c r="A72" s="2" t="s">
        <v>69</v>
      </c>
      <c r="B72" s="2" t="s">
        <v>75</v>
      </c>
      <c r="E72">
        <v>26</v>
      </c>
      <c r="F72">
        <v>1</v>
      </c>
      <c r="G72">
        <v>998</v>
      </c>
      <c r="H72">
        <v>5</v>
      </c>
      <c r="I72">
        <v>1272</v>
      </c>
      <c r="J72">
        <v>8</v>
      </c>
      <c r="K72">
        <v>1345</v>
      </c>
      <c r="L72">
        <v>11</v>
      </c>
      <c r="M72">
        <v>1727</v>
      </c>
      <c r="N72">
        <v>19</v>
      </c>
      <c r="O72">
        <v>1980</v>
      </c>
      <c r="P72">
        <v>28</v>
      </c>
      <c r="Q72">
        <v>2217</v>
      </c>
      <c r="R72">
        <v>33</v>
      </c>
      <c r="S72">
        <v>2551</v>
      </c>
      <c r="T72">
        <v>41</v>
      </c>
      <c r="U72">
        <v>2747</v>
      </c>
      <c r="V72">
        <v>84</v>
      </c>
      <c r="AQ72" s="58">
        <v>0</v>
      </c>
      <c r="AR72" s="58">
        <v>0</v>
      </c>
      <c r="AS72" s="58">
        <v>0</v>
      </c>
      <c r="AT72" s="58">
        <v>0</v>
      </c>
      <c r="AU72" s="58">
        <v>0</v>
      </c>
      <c r="AV72" s="58">
        <v>0</v>
      </c>
      <c r="AW72" s="58">
        <v>0</v>
      </c>
      <c r="AX72" s="58">
        <v>0</v>
      </c>
    </row>
    <row r="73" spans="1:50" x14ac:dyDescent="0.25">
      <c r="A73" s="2" t="s">
        <v>69</v>
      </c>
      <c r="B73" s="2" t="s">
        <v>76</v>
      </c>
      <c r="K73">
        <v>6732</v>
      </c>
      <c r="L73">
        <v>2094</v>
      </c>
      <c r="M73">
        <v>6732</v>
      </c>
      <c r="N73">
        <v>2094</v>
      </c>
      <c r="O73">
        <v>6732</v>
      </c>
      <c r="P73">
        <v>2094</v>
      </c>
      <c r="Q73">
        <v>6732</v>
      </c>
      <c r="R73">
        <v>2094</v>
      </c>
      <c r="S73">
        <v>6732</v>
      </c>
      <c r="T73">
        <v>2094</v>
      </c>
      <c r="U73">
        <v>6732</v>
      </c>
      <c r="V73">
        <v>2094</v>
      </c>
      <c r="AQ73" s="58">
        <v>0</v>
      </c>
      <c r="AR73" s="58">
        <v>0</v>
      </c>
      <c r="AS73" s="58">
        <v>0</v>
      </c>
      <c r="AT73" s="58">
        <v>0</v>
      </c>
      <c r="AU73" s="58">
        <v>0</v>
      </c>
      <c r="AV73" s="58">
        <v>0</v>
      </c>
      <c r="AW73" s="58">
        <v>0</v>
      </c>
      <c r="AX73" s="58">
        <v>0</v>
      </c>
    </row>
    <row r="74" spans="1:50" x14ac:dyDescent="0.25">
      <c r="A74" s="2" t="s">
        <v>69</v>
      </c>
      <c r="B74" s="2" t="s">
        <v>133</v>
      </c>
      <c r="AQ74" s="58">
        <v>0</v>
      </c>
      <c r="AR74" s="58">
        <v>0</v>
      </c>
      <c r="AS74" s="58">
        <v>0</v>
      </c>
      <c r="AT74" s="58">
        <v>0</v>
      </c>
      <c r="AU74" s="58">
        <v>0</v>
      </c>
      <c r="AV74" s="58">
        <v>0</v>
      </c>
      <c r="AW74" s="58">
        <v>0</v>
      </c>
      <c r="AX74" s="58">
        <v>0</v>
      </c>
    </row>
    <row r="75" spans="1:50" x14ac:dyDescent="0.25">
      <c r="A75" s="2" t="s">
        <v>69</v>
      </c>
      <c r="B75" s="2" t="s">
        <v>77</v>
      </c>
      <c r="AQ75" s="58">
        <v>0</v>
      </c>
      <c r="AR75" s="58">
        <v>0</v>
      </c>
      <c r="AS75" s="58">
        <v>0</v>
      </c>
      <c r="AT75" s="58">
        <v>0</v>
      </c>
      <c r="AU75" s="58">
        <v>0</v>
      </c>
      <c r="AV75" s="58">
        <v>0</v>
      </c>
      <c r="AW75" s="58">
        <v>0</v>
      </c>
      <c r="AX75" s="58">
        <v>0</v>
      </c>
    </row>
    <row r="76" spans="1:50" x14ac:dyDescent="0.25">
      <c r="A76" s="2" t="s">
        <v>69</v>
      </c>
      <c r="B76" s="2" t="s">
        <v>78</v>
      </c>
      <c r="G76">
        <v>250</v>
      </c>
      <c r="H76">
        <v>7</v>
      </c>
      <c r="I76">
        <v>362</v>
      </c>
      <c r="J76">
        <v>7</v>
      </c>
      <c r="K76">
        <v>415</v>
      </c>
      <c r="L76">
        <v>7</v>
      </c>
      <c r="M76">
        <v>521</v>
      </c>
      <c r="N76">
        <v>8</v>
      </c>
      <c r="O76">
        <v>590</v>
      </c>
      <c r="P76">
        <v>12</v>
      </c>
      <c r="Q76">
        <v>650</v>
      </c>
      <c r="R76">
        <v>14</v>
      </c>
      <c r="S76">
        <v>734</v>
      </c>
      <c r="T76">
        <v>17</v>
      </c>
      <c r="U76">
        <v>805</v>
      </c>
      <c r="V76">
        <v>24</v>
      </c>
      <c r="AQ76" s="58">
        <v>0</v>
      </c>
      <c r="AR76" s="58">
        <v>0</v>
      </c>
      <c r="AS76" s="58">
        <v>0</v>
      </c>
      <c r="AT76" s="58">
        <v>0</v>
      </c>
      <c r="AU76" s="58">
        <v>0</v>
      </c>
      <c r="AV76" s="58">
        <v>0</v>
      </c>
      <c r="AW76" s="58">
        <v>0</v>
      </c>
      <c r="AX76" s="58">
        <v>0</v>
      </c>
    </row>
    <row r="77" spans="1:50" x14ac:dyDescent="0.25">
      <c r="A77" s="2" t="s">
        <v>69</v>
      </c>
      <c r="B77" s="2" t="s">
        <v>79</v>
      </c>
      <c r="G77">
        <v>87</v>
      </c>
      <c r="H77">
        <v>2</v>
      </c>
      <c r="I77">
        <v>137</v>
      </c>
      <c r="J77">
        <v>4</v>
      </c>
      <c r="K77">
        <v>152</v>
      </c>
      <c r="L77">
        <v>7</v>
      </c>
      <c r="M77">
        <v>192</v>
      </c>
      <c r="N77">
        <v>9</v>
      </c>
      <c r="O77">
        <v>222</v>
      </c>
      <c r="P77">
        <v>14</v>
      </c>
      <c r="Q77">
        <v>234</v>
      </c>
      <c r="R77">
        <v>15</v>
      </c>
      <c r="S77">
        <v>333</v>
      </c>
      <c r="T77">
        <v>26</v>
      </c>
      <c r="U77">
        <v>350</v>
      </c>
      <c r="V77">
        <v>67</v>
      </c>
      <c r="AQ77" s="58">
        <v>0</v>
      </c>
      <c r="AR77" s="58">
        <v>0</v>
      </c>
      <c r="AS77" s="58">
        <v>0</v>
      </c>
      <c r="AT77" s="58">
        <v>0</v>
      </c>
      <c r="AU77" s="58">
        <v>0</v>
      </c>
      <c r="AV77" s="58">
        <v>0</v>
      </c>
      <c r="AW77" s="58">
        <v>0</v>
      </c>
      <c r="AX77" s="58">
        <v>0</v>
      </c>
    </row>
    <row r="78" spans="1:50" x14ac:dyDescent="0.25">
      <c r="A78" s="2" t="s">
        <v>69</v>
      </c>
      <c r="B78" s="2" t="s">
        <v>134</v>
      </c>
      <c r="AG78">
        <v>1</v>
      </c>
      <c r="AH78">
        <v>0</v>
      </c>
      <c r="AI78">
        <v>1</v>
      </c>
      <c r="AJ78">
        <v>0</v>
      </c>
      <c r="AK78">
        <v>2</v>
      </c>
      <c r="AL78">
        <v>0</v>
      </c>
      <c r="AM78">
        <v>172</v>
      </c>
      <c r="AN78">
        <v>0</v>
      </c>
      <c r="AO78">
        <v>235</v>
      </c>
      <c r="AP78">
        <v>0</v>
      </c>
      <c r="AQ78" s="58">
        <v>0</v>
      </c>
      <c r="AR78" s="58">
        <v>0</v>
      </c>
      <c r="AS78" s="58">
        <v>0</v>
      </c>
      <c r="AT78" s="58">
        <v>0</v>
      </c>
      <c r="AU78" s="58">
        <v>0</v>
      </c>
      <c r="AV78" s="58">
        <v>0</v>
      </c>
      <c r="AW78" s="58">
        <v>0</v>
      </c>
      <c r="AX78" s="58">
        <v>0</v>
      </c>
    </row>
    <row r="79" spans="1:50" x14ac:dyDescent="0.25">
      <c r="A79" s="2" t="s">
        <v>69</v>
      </c>
      <c r="B79" s="2" t="s">
        <v>80</v>
      </c>
      <c r="AQ79" s="58">
        <v>0</v>
      </c>
      <c r="AR79" s="58">
        <v>0</v>
      </c>
      <c r="AS79" s="58">
        <v>0</v>
      </c>
      <c r="AT79" s="58">
        <v>0</v>
      </c>
      <c r="AU79" s="58">
        <v>0</v>
      </c>
      <c r="AV79" s="58">
        <v>0</v>
      </c>
      <c r="AW79" s="58">
        <v>0</v>
      </c>
      <c r="AX79" s="58">
        <v>0</v>
      </c>
    </row>
    <row r="80" spans="1:50" x14ac:dyDescent="0.25">
      <c r="A80" s="2" t="s">
        <v>69</v>
      </c>
      <c r="B80" s="2" t="s">
        <v>81</v>
      </c>
      <c r="C80">
        <v>1</v>
      </c>
      <c r="D80">
        <v>0</v>
      </c>
      <c r="E80">
        <v>137</v>
      </c>
      <c r="F80">
        <v>5</v>
      </c>
      <c r="G80">
        <v>226</v>
      </c>
      <c r="H80">
        <v>19</v>
      </c>
      <c r="I80">
        <v>2861</v>
      </c>
      <c r="J80">
        <v>2245</v>
      </c>
      <c r="K80">
        <v>2924</v>
      </c>
      <c r="L80">
        <v>2285</v>
      </c>
      <c r="M80">
        <v>3086</v>
      </c>
      <c r="N80">
        <v>2568</v>
      </c>
      <c r="O80">
        <v>3214</v>
      </c>
      <c r="P80">
        <v>2699</v>
      </c>
      <c r="Q80">
        <v>3286</v>
      </c>
      <c r="R80">
        <v>2735</v>
      </c>
      <c r="S80">
        <v>3428</v>
      </c>
      <c r="T80">
        <v>2822</v>
      </c>
      <c r="U80">
        <v>3586</v>
      </c>
      <c r="V80">
        <v>2961</v>
      </c>
      <c r="AQ80" s="58">
        <v>0</v>
      </c>
      <c r="AR80" s="58">
        <v>0</v>
      </c>
      <c r="AS80" s="58">
        <v>0</v>
      </c>
      <c r="AT80" s="58">
        <v>0</v>
      </c>
      <c r="AU80" s="58">
        <v>0</v>
      </c>
      <c r="AV80" s="58">
        <v>0</v>
      </c>
      <c r="AW80" s="58">
        <v>0</v>
      </c>
      <c r="AX80" s="58">
        <v>0</v>
      </c>
    </row>
    <row r="81" spans="1:50" x14ac:dyDescent="0.25">
      <c r="A81" s="2" t="s">
        <v>69</v>
      </c>
      <c r="B81" s="2" t="s">
        <v>82</v>
      </c>
      <c r="I81">
        <v>283</v>
      </c>
      <c r="J81">
        <v>37</v>
      </c>
      <c r="K81">
        <v>304</v>
      </c>
      <c r="L81">
        <v>40</v>
      </c>
      <c r="M81">
        <v>375</v>
      </c>
      <c r="N81">
        <v>49</v>
      </c>
      <c r="O81">
        <v>416</v>
      </c>
      <c r="P81">
        <v>51</v>
      </c>
      <c r="Q81">
        <v>445</v>
      </c>
      <c r="R81">
        <v>55</v>
      </c>
      <c r="S81">
        <v>498</v>
      </c>
      <c r="T81">
        <v>78</v>
      </c>
      <c r="U81">
        <v>537</v>
      </c>
      <c r="V81">
        <v>87</v>
      </c>
      <c r="AQ81" s="58">
        <v>0</v>
      </c>
      <c r="AR81" s="58">
        <v>0</v>
      </c>
      <c r="AS81" s="58">
        <v>0</v>
      </c>
      <c r="AT81" s="58">
        <v>0</v>
      </c>
      <c r="AU81" s="58">
        <v>0</v>
      </c>
      <c r="AV81" s="58">
        <v>0</v>
      </c>
      <c r="AW81" s="58">
        <v>0</v>
      </c>
      <c r="AX81" s="58">
        <v>0</v>
      </c>
    </row>
    <row r="82" spans="1:50" x14ac:dyDescent="0.25">
      <c r="A82" s="2" t="s">
        <v>69</v>
      </c>
      <c r="B82" s="2" t="s">
        <v>83</v>
      </c>
      <c r="I82">
        <v>65</v>
      </c>
      <c r="J82">
        <v>2</v>
      </c>
      <c r="K82">
        <v>80</v>
      </c>
      <c r="L82">
        <v>2</v>
      </c>
      <c r="M82">
        <v>164</v>
      </c>
      <c r="N82">
        <v>2</v>
      </c>
      <c r="O82">
        <v>217</v>
      </c>
      <c r="P82">
        <v>10</v>
      </c>
      <c r="Q82">
        <v>234</v>
      </c>
      <c r="R82">
        <v>10</v>
      </c>
      <c r="S82">
        <v>279</v>
      </c>
      <c r="T82">
        <v>10</v>
      </c>
      <c r="U82">
        <v>307</v>
      </c>
      <c r="V82">
        <v>11</v>
      </c>
      <c r="AQ82" s="58">
        <v>0</v>
      </c>
      <c r="AR82" s="58">
        <v>0</v>
      </c>
      <c r="AS82" s="58">
        <v>0</v>
      </c>
      <c r="AT82" s="58">
        <v>0</v>
      </c>
      <c r="AU82" s="58">
        <v>0</v>
      </c>
      <c r="AV82" s="58">
        <v>0</v>
      </c>
      <c r="AW82" s="58">
        <v>0</v>
      </c>
      <c r="AX82" s="58">
        <v>0</v>
      </c>
    </row>
    <row r="83" spans="1:50" x14ac:dyDescent="0.25">
      <c r="A83" s="2" t="s">
        <v>69</v>
      </c>
      <c r="B83" s="2" t="s">
        <v>69</v>
      </c>
      <c r="G83">
        <v>1177</v>
      </c>
      <c r="H83">
        <v>256</v>
      </c>
      <c r="I83">
        <v>1258</v>
      </c>
      <c r="J83">
        <v>290</v>
      </c>
      <c r="K83">
        <v>7470</v>
      </c>
      <c r="L83">
        <v>2672</v>
      </c>
      <c r="M83">
        <v>7644</v>
      </c>
      <c r="N83">
        <v>3044</v>
      </c>
      <c r="O83">
        <v>7766</v>
      </c>
      <c r="P83">
        <v>3252</v>
      </c>
      <c r="Q83">
        <v>7834</v>
      </c>
      <c r="R83">
        <v>3334</v>
      </c>
      <c r="S83">
        <v>7939</v>
      </c>
      <c r="T83">
        <v>3471</v>
      </c>
      <c r="U83">
        <v>8073</v>
      </c>
      <c r="V83">
        <v>3575</v>
      </c>
      <c r="AQ83" s="58">
        <v>0</v>
      </c>
      <c r="AR83" s="58">
        <v>0</v>
      </c>
      <c r="AS83" s="58">
        <v>0</v>
      </c>
      <c r="AT83" s="58">
        <v>0</v>
      </c>
      <c r="AU83" s="58">
        <v>0</v>
      </c>
      <c r="AV83" s="58">
        <v>0</v>
      </c>
      <c r="AW83" s="58">
        <v>0</v>
      </c>
      <c r="AX83" s="58">
        <v>0</v>
      </c>
    </row>
    <row r="84" spans="1:50" x14ac:dyDescent="0.25">
      <c r="A84" s="2" t="s">
        <v>69</v>
      </c>
      <c r="B84" s="2" t="s">
        <v>84</v>
      </c>
      <c r="U84">
        <v>0</v>
      </c>
      <c r="V84">
        <v>2</v>
      </c>
      <c r="AQ84" s="58">
        <v>0</v>
      </c>
      <c r="AR84" s="58">
        <v>0</v>
      </c>
      <c r="AS84" s="58">
        <v>0</v>
      </c>
      <c r="AT84" s="58">
        <v>0</v>
      </c>
      <c r="AU84" s="58">
        <v>0</v>
      </c>
      <c r="AV84" s="58">
        <v>0</v>
      </c>
      <c r="AW84" s="58">
        <v>0</v>
      </c>
      <c r="AX84" s="58">
        <v>0</v>
      </c>
    </row>
    <row r="85" spans="1:50" x14ac:dyDescent="0.25">
      <c r="A85" s="2" t="s">
        <v>69</v>
      </c>
      <c r="B85" s="2" t="s">
        <v>85</v>
      </c>
      <c r="E85">
        <v>21</v>
      </c>
      <c r="F85">
        <v>2</v>
      </c>
      <c r="G85">
        <v>21</v>
      </c>
      <c r="H85">
        <v>2</v>
      </c>
      <c r="I85">
        <v>21</v>
      </c>
      <c r="J85">
        <v>2</v>
      </c>
      <c r="K85">
        <v>21</v>
      </c>
      <c r="L85">
        <v>2</v>
      </c>
      <c r="M85">
        <v>22</v>
      </c>
      <c r="N85">
        <v>3</v>
      </c>
      <c r="O85">
        <v>22</v>
      </c>
      <c r="P85">
        <v>3</v>
      </c>
      <c r="Q85">
        <v>22</v>
      </c>
      <c r="R85">
        <v>4</v>
      </c>
      <c r="S85">
        <v>28</v>
      </c>
      <c r="T85">
        <v>5</v>
      </c>
      <c r="U85">
        <v>66</v>
      </c>
      <c r="V85">
        <v>6</v>
      </c>
      <c r="AK85">
        <v>2</v>
      </c>
      <c r="AL85">
        <v>1</v>
      </c>
      <c r="AM85">
        <v>2</v>
      </c>
      <c r="AN85">
        <v>1</v>
      </c>
      <c r="AO85">
        <v>8</v>
      </c>
      <c r="AP85">
        <v>1</v>
      </c>
      <c r="AQ85" s="58">
        <v>0</v>
      </c>
      <c r="AR85" s="58">
        <v>0</v>
      </c>
      <c r="AS85" s="58">
        <v>0</v>
      </c>
      <c r="AT85" s="58">
        <v>0</v>
      </c>
      <c r="AU85" s="58">
        <v>0</v>
      </c>
      <c r="AV85" s="58">
        <v>0</v>
      </c>
      <c r="AW85" s="58">
        <v>0</v>
      </c>
      <c r="AX85" s="58">
        <v>0</v>
      </c>
    </row>
    <row r="86" spans="1:50" s="50" customFormat="1" x14ac:dyDescent="0.25">
      <c r="A86" s="15" t="s">
        <v>69</v>
      </c>
      <c r="B86" s="15" t="s">
        <v>86</v>
      </c>
      <c r="AQ86" s="61">
        <v>0</v>
      </c>
      <c r="AR86" s="61">
        <v>0</v>
      </c>
      <c r="AS86" s="61">
        <v>0</v>
      </c>
      <c r="AT86" s="61">
        <v>0</v>
      </c>
      <c r="AU86" s="61">
        <v>0</v>
      </c>
      <c r="AV86" s="61">
        <v>0</v>
      </c>
      <c r="AW86" s="61">
        <v>0</v>
      </c>
      <c r="AX86" s="61">
        <v>0</v>
      </c>
    </row>
    <row r="87" spans="1:50" x14ac:dyDescent="0.25">
      <c r="A87" s="2" t="s">
        <v>87</v>
      </c>
      <c r="B87" s="2" t="s">
        <v>88</v>
      </c>
      <c r="W87" s="52">
        <v>0</v>
      </c>
      <c r="X87" s="52">
        <v>0</v>
      </c>
      <c r="Y87" s="52">
        <v>0</v>
      </c>
      <c r="Z87" s="52">
        <v>0</v>
      </c>
      <c r="AA87" s="52">
        <v>0</v>
      </c>
      <c r="AB87" s="52">
        <v>0</v>
      </c>
      <c r="AC87" s="52">
        <v>0</v>
      </c>
      <c r="AD87" s="52">
        <v>0</v>
      </c>
      <c r="AE87" s="52">
        <v>0</v>
      </c>
      <c r="AF87" s="52">
        <v>0</v>
      </c>
      <c r="AG87" s="52">
        <v>0</v>
      </c>
      <c r="AH87" s="52">
        <v>0</v>
      </c>
      <c r="AI87" s="52">
        <v>0</v>
      </c>
      <c r="AJ87" s="52">
        <v>0</v>
      </c>
      <c r="AK87" s="52">
        <v>0</v>
      </c>
      <c r="AL87" s="52">
        <v>0</v>
      </c>
      <c r="AM87" s="52">
        <v>0</v>
      </c>
      <c r="AN87" s="52">
        <v>0</v>
      </c>
      <c r="AO87" s="52">
        <v>0</v>
      </c>
      <c r="AP87" s="52">
        <v>0</v>
      </c>
      <c r="AQ87" s="52">
        <v>0</v>
      </c>
      <c r="AR87" s="52">
        <v>0</v>
      </c>
      <c r="AS87" s="52">
        <v>0</v>
      </c>
      <c r="AT87" s="52">
        <v>0</v>
      </c>
      <c r="AU87" s="52">
        <v>0</v>
      </c>
      <c r="AV87" s="52">
        <v>0</v>
      </c>
      <c r="AW87" s="52">
        <v>0</v>
      </c>
      <c r="AX87" s="52">
        <v>0</v>
      </c>
    </row>
    <row r="88" spans="1:50" x14ac:dyDescent="0.25">
      <c r="A88" s="2" t="s">
        <v>87</v>
      </c>
      <c r="B88" s="2" t="s">
        <v>89</v>
      </c>
      <c r="W88" s="52">
        <v>0</v>
      </c>
      <c r="X88" s="52">
        <v>0</v>
      </c>
      <c r="Y88" s="52">
        <v>0</v>
      </c>
      <c r="Z88" s="52">
        <v>0</v>
      </c>
      <c r="AA88" s="52">
        <v>0</v>
      </c>
      <c r="AB88" s="52">
        <v>0</v>
      </c>
      <c r="AC88" s="52">
        <v>0</v>
      </c>
      <c r="AD88" s="52">
        <v>0</v>
      </c>
      <c r="AE88" s="52">
        <v>0</v>
      </c>
      <c r="AF88" s="52">
        <v>0</v>
      </c>
      <c r="AG88" s="52">
        <v>0</v>
      </c>
      <c r="AH88" s="52">
        <v>0</v>
      </c>
      <c r="AI88" s="52">
        <v>0</v>
      </c>
      <c r="AJ88" s="52">
        <v>0</v>
      </c>
      <c r="AK88" s="52">
        <v>0</v>
      </c>
      <c r="AL88" s="52">
        <v>0</v>
      </c>
      <c r="AM88" s="52">
        <v>0</v>
      </c>
      <c r="AN88" s="52">
        <v>0</v>
      </c>
      <c r="AO88" s="52">
        <v>0</v>
      </c>
      <c r="AP88" s="52">
        <v>0</v>
      </c>
      <c r="AQ88" s="52">
        <v>0</v>
      </c>
      <c r="AR88" s="52">
        <v>0</v>
      </c>
      <c r="AS88" s="52">
        <v>0</v>
      </c>
      <c r="AT88" s="52">
        <v>0</v>
      </c>
      <c r="AU88" s="52">
        <v>0</v>
      </c>
      <c r="AV88" s="52">
        <v>0</v>
      </c>
      <c r="AW88" s="52">
        <v>0</v>
      </c>
      <c r="AX88" s="52">
        <v>0</v>
      </c>
    </row>
    <row r="89" spans="1:50" x14ac:dyDescent="0.25">
      <c r="A89" s="2" t="s">
        <v>87</v>
      </c>
      <c r="B89" s="2" t="s">
        <v>90</v>
      </c>
      <c r="W89" s="52">
        <v>0</v>
      </c>
      <c r="X89" s="52">
        <v>0</v>
      </c>
      <c r="Y89" s="52">
        <v>0</v>
      </c>
      <c r="Z89" s="52">
        <v>0</v>
      </c>
      <c r="AA89" s="52">
        <v>0</v>
      </c>
      <c r="AB89" s="52">
        <v>0</v>
      </c>
      <c r="AC89" s="52">
        <v>0</v>
      </c>
      <c r="AD89" s="52">
        <v>0</v>
      </c>
      <c r="AE89" s="52">
        <v>0</v>
      </c>
      <c r="AF89" s="52">
        <v>0</v>
      </c>
      <c r="AG89" s="52">
        <v>0</v>
      </c>
      <c r="AH89" s="52">
        <v>0</v>
      </c>
      <c r="AI89" s="52">
        <v>0</v>
      </c>
      <c r="AJ89" s="52">
        <v>0</v>
      </c>
      <c r="AK89" s="52">
        <v>0</v>
      </c>
      <c r="AL89" s="52">
        <v>0</v>
      </c>
      <c r="AM89" s="52">
        <v>0</v>
      </c>
      <c r="AN89" s="52">
        <v>0</v>
      </c>
      <c r="AO89" s="52">
        <v>0</v>
      </c>
      <c r="AP89" s="52">
        <v>0</v>
      </c>
      <c r="AQ89" s="52">
        <v>0</v>
      </c>
      <c r="AR89" s="52">
        <v>0</v>
      </c>
      <c r="AS89" s="52">
        <v>0</v>
      </c>
      <c r="AT89" s="52">
        <v>0</v>
      </c>
      <c r="AU89" s="52">
        <v>0</v>
      </c>
      <c r="AV89" s="52">
        <v>0</v>
      </c>
      <c r="AW89" s="52">
        <v>0</v>
      </c>
      <c r="AX89" s="52">
        <v>0</v>
      </c>
    </row>
    <row r="90" spans="1:50" x14ac:dyDescent="0.25">
      <c r="A90" s="2" t="s">
        <v>87</v>
      </c>
      <c r="B90" s="2" t="s">
        <v>91</v>
      </c>
      <c r="W90" s="52">
        <v>0</v>
      </c>
      <c r="X90" s="52">
        <v>0</v>
      </c>
      <c r="Y90" s="52">
        <v>0</v>
      </c>
      <c r="Z90" s="52">
        <v>0</v>
      </c>
      <c r="AA90" s="52">
        <v>0</v>
      </c>
      <c r="AB90" s="52">
        <v>0</v>
      </c>
      <c r="AC90" s="52">
        <v>0</v>
      </c>
      <c r="AD90" s="52">
        <v>0</v>
      </c>
      <c r="AE90" s="52">
        <v>0</v>
      </c>
      <c r="AF90" s="52">
        <v>0</v>
      </c>
      <c r="AG90" s="52">
        <v>0</v>
      </c>
      <c r="AH90" s="52">
        <v>0</v>
      </c>
      <c r="AI90" s="52">
        <v>0</v>
      </c>
      <c r="AJ90" s="52">
        <v>0</v>
      </c>
      <c r="AK90" s="52">
        <v>0</v>
      </c>
      <c r="AL90" s="52">
        <v>0</v>
      </c>
      <c r="AM90" s="52">
        <v>0</v>
      </c>
      <c r="AN90" s="52">
        <v>0</v>
      </c>
      <c r="AO90" s="52">
        <v>0</v>
      </c>
      <c r="AP90" s="52">
        <v>0</v>
      </c>
      <c r="AQ90" s="52">
        <v>0</v>
      </c>
      <c r="AR90" s="52">
        <v>0</v>
      </c>
      <c r="AS90" s="52">
        <v>0</v>
      </c>
      <c r="AT90" s="52">
        <v>0</v>
      </c>
      <c r="AU90" s="52">
        <v>0</v>
      </c>
      <c r="AV90" s="52">
        <v>0</v>
      </c>
      <c r="AW90" s="52">
        <v>0</v>
      </c>
      <c r="AX90" s="52">
        <v>0</v>
      </c>
    </row>
    <row r="91" spans="1:50" x14ac:dyDescent="0.25">
      <c r="A91" s="2" t="s">
        <v>87</v>
      </c>
      <c r="B91" s="2" t="s">
        <v>92</v>
      </c>
      <c r="W91" s="52">
        <v>0</v>
      </c>
      <c r="X91" s="52">
        <v>0</v>
      </c>
      <c r="Y91" s="52">
        <v>0</v>
      </c>
      <c r="Z91" s="52">
        <v>0</v>
      </c>
      <c r="AA91" s="52">
        <v>0</v>
      </c>
      <c r="AB91" s="52">
        <v>0</v>
      </c>
      <c r="AC91" s="52">
        <v>0</v>
      </c>
      <c r="AD91" s="52">
        <v>0</v>
      </c>
      <c r="AE91" s="52">
        <v>0</v>
      </c>
      <c r="AF91" s="52">
        <v>0</v>
      </c>
      <c r="AG91" s="52">
        <v>0</v>
      </c>
      <c r="AH91" s="52">
        <v>0</v>
      </c>
      <c r="AI91" s="52">
        <v>0</v>
      </c>
      <c r="AJ91" s="52">
        <v>0</v>
      </c>
      <c r="AK91" s="52">
        <v>0</v>
      </c>
      <c r="AL91" s="52">
        <v>0</v>
      </c>
      <c r="AM91" s="52">
        <v>0</v>
      </c>
      <c r="AN91" s="52">
        <v>0</v>
      </c>
      <c r="AO91" s="52">
        <v>0</v>
      </c>
      <c r="AP91" s="52">
        <v>0</v>
      </c>
      <c r="AQ91" s="52">
        <v>0</v>
      </c>
      <c r="AR91" s="52">
        <v>0</v>
      </c>
      <c r="AS91" s="52">
        <v>0</v>
      </c>
      <c r="AT91" s="52">
        <v>0</v>
      </c>
      <c r="AU91" s="52">
        <v>0</v>
      </c>
      <c r="AV91" s="52">
        <v>0</v>
      </c>
      <c r="AW91" s="52">
        <v>0</v>
      </c>
      <c r="AX91" s="52">
        <v>0</v>
      </c>
    </row>
    <row r="92" spans="1:50" x14ac:dyDescent="0.25">
      <c r="A92" s="2" t="s">
        <v>87</v>
      </c>
      <c r="B92" s="2" t="s">
        <v>93</v>
      </c>
      <c r="W92" s="52">
        <v>0</v>
      </c>
      <c r="X92" s="52">
        <v>0</v>
      </c>
      <c r="Y92" s="52">
        <v>0</v>
      </c>
      <c r="Z92" s="52">
        <v>0</v>
      </c>
      <c r="AA92" s="52">
        <v>0</v>
      </c>
      <c r="AB92" s="52">
        <v>0</v>
      </c>
      <c r="AC92" s="52">
        <v>0</v>
      </c>
      <c r="AD92" s="52">
        <v>0</v>
      </c>
      <c r="AE92" s="52">
        <v>0</v>
      </c>
      <c r="AF92" s="52">
        <v>0</v>
      </c>
      <c r="AG92" s="52">
        <v>0</v>
      </c>
      <c r="AH92" s="52">
        <v>0</v>
      </c>
      <c r="AI92" s="52">
        <v>0</v>
      </c>
      <c r="AJ92" s="52">
        <v>0</v>
      </c>
      <c r="AK92" s="52">
        <v>0</v>
      </c>
      <c r="AL92" s="52">
        <v>0</v>
      </c>
      <c r="AM92" s="52">
        <v>0</v>
      </c>
      <c r="AN92" s="52">
        <v>0</v>
      </c>
      <c r="AO92" s="52">
        <v>0</v>
      </c>
      <c r="AP92" s="52">
        <v>0</v>
      </c>
      <c r="AQ92" s="52">
        <v>0</v>
      </c>
      <c r="AR92" s="52">
        <v>0</v>
      </c>
      <c r="AS92" s="52">
        <v>0</v>
      </c>
      <c r="AT92" s="52">
        <v>0</v>
      </c>
      <c r="AU92" s="52">
        <v>0</v>
      </c>
      <c r="AV92" s="52">
        <v>0</v>
      </c>
      <c r="AW92" s="52">
        <v>0</v>
      </c>
      <c r="AX92" s="52">
        <v>0</v>
      </c>
    </row>
    <row r="93" spans="1:50" x14ac:dyDescent="0.25">
      <c r="A93" s="2" t="s">
        <v>87</v>
      </c>
      <c r="B93" s="2" t="s">
        <v>94</v>
      </c>
      <c r="C93">
        <v>4</v>
      </c>
      <c r="D93">
        <v>0</v>
      </c>
      <c r="E93">
        <v>4</v>
      </c>
      <c r="F93">
        <v>0</v>
      </c>
      <c r="G93">
        <v>5</v>
      </c>
      <c r="H93">
        <v>0</v>
      </c>
      <c r="I93">
        <v>5</v>
      </c>
      <c r="J93">
        <v>0</v>
      </c>
      <c r="K93">
        <v>6</v>
      </c>
      <c r="L93">
        <v>0</v>
      </c>
      <c r="M93">
        <v>8</v>
      </c>
      <c r="N93">
        <v>0</v>
      </c>
      <c r="O93">
        <v>84</v>
      </c>
      <c r="P93">
        <v>132</v>
      </c>
      <c r="Q93">
        <v>750</v>
      </c>
      <c r="R93">
        <v>323</v>
      </c>
      <c r="S93">
        <v>1364</v>
      </c>
      <c r="T93">
        <v>463</v>
      </c>
      <c r="U93">
        <v>1955</v>
      </c>
      <c r="V93">
        <v>651</v>
      </c>
      <c r="W93" s="52">
        <v>0</v>
      </c>
      <c r="X93" s="52">
        <v>0</v>
      </c>
      <c r="Y93" s="52">
        <v>0</v>
      </c>
      <c r="Z93" s="52">
        <v>0</v>
      </c>
      <c r="AA93" s="52">
        <v>0</v>
      </c>
      <c r="AB93" s="52">
        <v>0</v>
      </c>
      <c r="AC93" s="52">
        <v>0</v>
      </c>
      <c r="AD93" s="52">
        <v>0</v>
      </c>
      <c r="AE93" s="52">
        <v>0</v>
      </c>
      <c r="AF93" s="52">
        <v>0</v>
      </c>
      <c r="AG93" s="52">
        <v>0</v>
      </c>
      <c r="AH93" s="52">
        <v>0</v>
      </c>
      <c r="AI93" s="52">
        <v>0</v>
      </c>
      <c r="AJ93" s="52">
        <v>0</v>
      </c>
      <c r="AK93" s="52">
        <v>0</v>
      </c>
      <c r="AL93" s="52">
        <v>0</v>
      </c>
      <c r="AM93" s="52">
        <v>0</v>
      </c>
      <c r="AN93" s="52">
        <v>0</v>
      </c>
      <c r="AO93" s="52">
        <v>0</v>
      </c>
      <c r="AP93" s="52">
        <v>0</v>
      </c>
      <c r="AQ93" s="52">
        <v>0</v>
      </c>
      <c r="AR93" s="52">
        <v>0</v>
      </c>
      <c r="AS93" s="52">
        <v>0</v>
      </c>
      <c r="AT93" s="52">
        <v>0</v>
      </c>
      <c r="AU93" s="52">
        <v>0</v>
      </c>
      <c r="AV93" s="52">
        <v>0</v>
      </c>
      <c r="AW93" s="52">
        <v>0</v>
      </c>
      <c r="AX93" s="52">
        <v>0</v>
      </c>
    </row>
    <row r="94" spans="1:50" x14ac:dyDescent="0.25">
      <c r="A94" s="2" t="s">
        <v>87</v>
      </c>
      <c r="B94" s="2" t="s">
        <v>95</v>
      </c>
      <c r="W94" s="52">
        <v>0</v>
      </c>
      <c r="X94" s="52">
        <v>0</v>
      </c>
      <c r="Y94" s="52">
        <v>0</v>
      </c>
      <c r="Z94" s="52">
        <v>0</v>
      </c>
      <c r="AA94" s="52">
        <v>0</v>
      </c>
      <c r="AB94" s="52">
        <v>0</v>
      </c>
      <c r="AC94" s="52">
        <v>0</v>
      </c>
      <c r="AD94" s="52">
        <v>0</v>
      </c>
      <c r="AE94" s="52">
        <v>0</v>
      </c>
      <c r="AF94" s="52">
        <v>0</v>
      </c>
      <c r="AG94" s="52">
        <v>0</v>
      </c>
      <c r="AH94" s="52">
        <v>0</v>
      </c>
      <c r="AI94" s="52">
        <v>0</v>
      </c>
      <c r="AJ94" s="52">
        <v>0</v>
      </c>
      <c r="AK94" s="52">
        <v>0</v>
      </c>
      <c r="AL94" s="52">
        <v>0</v>
      </c>
      <c r="AM94" s="52">
        <v>0</v>
      </c>
      <c r="AN94" s="52">
        <v>0</v>
      </c>
      <c r="AO94" s="52">
        <v>0</v>
      </c>
      <c r="AP94" s="52">
        <v>0</v>
      </c>
      <c r="AQ94" s="52">
        <v>0</v>
      </c>
      <c r="AR94" s="52">
        <v>0</v>
      </c>
      <c r="AS94" s="52">
        <v>0</v>
      </c>
      <c r="AT94" s="52">
        <v>0</v>
      </c>
      <c r="AU94" s="52">
        <v>0</v>
      </c>
      <c r="AV94" s="52">
        <v>0</v>
      </c>
      <c r="AW94" s="52">
        <v>0</v>
      </c>
      <c r="AX94" s="52">
        <v>0</v>
      </c>
    </row>
    <row r="95" spans="1:50" x14ac:dyDescent="0.25">
      <c r="A95" s="2" t="s">
        <v>87</v>
      </c>
      <c r="B95" s="2" t="s">
        <v>96</v>
      </c>
      <c r="W95" s="52">
        <v>0</v>
      </c>
      <c r="X95" s="52">
        <v>0</v>
      </c>
      <c r="Y95" s="52">
        <v>0</v>
      </c>
      <c r="Z95" s="52">
        <v>0</v>
      </c>
      <c r="AA95" s="52">
        <v>0</v>
      </c>
      <c r="AB95" s="52">
        <v>0</v>
      </c>
      <c r="AC95" s="52">
        <v>0</v>
      </c>
      <c r="AD95" s="52">
        <v>0</v>
      </c>
      <c r="AE95" s="52">
        <v>0</v>
      </c>
      <c r="AF95" s="52">
        <v>0</v>
      </c>
      <c r="AG95" s="52">
        <v>0</v>
      </c>
      <c r="AH95" s="52">
        <v>0</v>
      </c>
      <c r="AI95" s="52">
        <v>0</v>
      </c>
      <c r="AJ95" s="52">
        <v>0</v>
      </c>
      <c r="AK95" s="52">
        <v>0</v>
      </c>
      <c r="AL95" s="52">
        <v>0</v>
      </c>
      <c r="AM95" s="52">
        <v>0</v>
      </c>
      <c r="AN95" s="52">
        <v>0</v>
      </c>
      <c r="AO95" s="52">
        <v>0</v>
      </c>
      <c r="AP95" s="52">
        <v>0</v>
      </c>
      <c r="AQ95" s="52">
        <v>0</v>
      </c>
      <c r="AR95" s="52">
        <v>0</v>
      </c>
      <c r="AS95" s="52">
        <v>0</v>
      </c>
      <c r="AT95" s="52">
        <v>0</v>
      </c>
      <c r="AU95" s="52">
        <v>0</v>
      </c>
      <c r="AV95" s="52">
        <v>0</v>
      </c>
      <c r="AW95" s="52">
        <v>0</v>
      </c>
      <c r="AX95" s="52">
        <v>0</v>
      </c>
    </row>
    <row r="96" spans="1:50" x14ac:dyDescent="0.25">
      <c r="A96" s="2" t="s">
        <v>87</v>
      </c>
      <c r="B96" s="2" t="s">
        <v>97</v>
      </c>
      <c r="C96">
        <v>4</v>
      </c>
      <c r="D96">
        <v>0</v>
      </c>
      <c r="E96">
        <v>5</v>
      </c>
      <c r="F96">
        <v>0</v>
      </c>
      <c r="G96">
        <v>9</v>
      </c>
      <c r="H96">
        <v>0</v>
      </c>
      <c r="I96">
        <v>12</v>
      </c>
      <c r="J96">
        <v>0</v>
      </c>
      <c r="K96">
        <v>14</v>
      </c>
      <c r="L96">
        <v>0</v>
      </c>
      <c r="M96">
        <v>21</v>
      </c>
      <c r="N96">
        <v>0</v>
      </c>
      <c r="O96">
        <v>21</v>
      </c>
      <c r="P96">
        <v>1</v>
      </c>
      <c r="Q96">
        <v>27</v>
      </c>
      <c r="R96">
        <v>11</v>
      </c>
      <c r="S96">
        <v>33</v>
      </c>
      <c r="T96">
        <v>30</v>
      </c>
      <c r="U96">
        <v>50</v>
      </c>
      <c r="V96">
        <v>52</v>
      </c>
      <c r="W96" s="52">
        <v>0</v>
      </c>
      <c r="X96" s="52">
        <v>0</v>
      </c>
      <c r="Y96" s="52">
        <v>0</v>
      </c>
      <c r="Z96" s="52">
        <v>0</v>
      </c>
      <c r="AA96" s="52">
        <v>0</v>
      </c>
      <c r="AB96" s="52">
        <v>0</v>
      </c>
      <c r="AC96" s="52">
        <v>0</v>
      </c>
      <c r="AD96" s="52">
        <v>0</v>
      </c>
      <c r="AE96" s="52">
        <v>0</v>
      </c>
      <c r="AF96" s="52">
        <v>0</v>
      </c>
      <c r="AG96" s="52">
        <v>0</v>
      </c>
      <c r="AH96" s="52">
        <v>0</v>
      </c>
      <c r="AI96" s="52">
        <v>0</v>
      </c>
      <c r="AJ96" s="52">
        <v>0</v>
      </c>
      <c r="AK96" s="52">
        <v>0</v>
      </c>
      <c r="AL96" s="52">
        <v>0</v>
      </c>
      <c r="AM96" s="52">
        <v>0</v>
      </c>
      <c r="AN96" s="52">
        <v>0</v>
      </c>
      <c r="AO96" s="52">
        <v>0</v>
      </c>
      <c r="AP96" s="52">
        <v>0</v>
      </c>
      <c r="AQ96" s="52">
        <v>0</v>
      </c>
      <c r="AR96" s="52">
        <v>0</v>
      </c>
      <c r="AS96" s="52">
        <v>0</v>
      </c>
      <c r="AT96" s="52">
        <v>0</v>
      </c>
      <c r="AU96" s="52">
        <v>0</v>
      </c>
      <c r="AV96" s="52">
        <v>0</v>
      </c>
      <c r="AW96" s="52">
        <v>0</v>
      </c>
      <c r="AX96" s="52">
        <v>0</v>
      </c>
    </row>
    <row r="97" spans="1:50" x14ac:dyDescent="0.25">
      <c r="A97" s="2" t="s">
        <v>87</v>
      </c>
      <c r="B97" s="2" t="s">
        <v>98</v>
      </c>
      <c r="E97">
        <v>1</v>
      </c>
      <c r="F97">
        <v>0</v>
      </c>
      <c r="G97">
        <v>1854</v>
      </c>
      <c r="H97">
        <v>240</v>
      </c>
      <c r="I97">
        <v>2231</v>
      </c>
      <c r="J97">
        <v>327</v>
      </c>
      <c r="K97">
        <v>2347</v>
      </c>
      <c r="L97">
        <v>369</v>
      </c>
      <c r="M97">
        <v>2850</v>
      </c>
      <c r="N97">
        <v>461</v>
      </c>
      <c r="O97">
        <v>3230</v>
      </c>
      <c r="P97">
        <v>492</v>
      </c>
      <c r="Q97">
        <v>3438</v>
      </c>
      <c r="R97">
        <v>523</v>
      </c>
      <c r="S97">
        <v>3781</v>
      </c>
      <c r="T97">
        <v>612</v>
      </c>
      <c r="U97">
        <v>4062</v>
      </c>
      <c r="V97">
        <v>685</v>
      </c>
      <c r="W97" s="52">
        <v>0</v>
      </c>
      <c r="X97" s="52">
        <v>0</v>
      </c>
      <c r="Y97" s="52">
        <v>0</v>
      </c>
      <c r="Z97" s="52">
        <v>0</v>
      </c>
      <c r="AA97" s="52">
        <v>0</v>
      </c>
      <c r="AB97" s="52">
        <v>0</v>
      </c>
      <c r="AC97" s="52">
        <v>0</v>
      </c>
      <c r="AD97" s="52">
        <v>0</v>
      </c>
      <c r="AE97" s="52">
        <v>0</v>
      </c>
      <c r="AF97" s="52">
        <v>0</v>
      </c>
      <c r="AG97" s="52">
        <v>0</v>
      </c>
      <c r="AH97" s="52">
        <v>0</v>
      </c>
      <c r="AI97" s="52">
        <v>0</v>
      </c>
      <c r="AJ97" s="52">
        <v>0</v>
      </c>
      <c r="AK97" s="52">
        <v>0</v>
      </c>
      <c r="AL97" s="52">
        <v>0</v>
      </c>
      <c r="AM97" s="52">
        <v>0</v>
      </c>
      <c r="AN97" s="52">
        <v>0</v>
      </c>
      <c r="AO97" s="52">
        <v>0</v>
      </c>
      <c r="AP97" s="52">
        <v>0</v>
      </c>
      <c r="AQ97" s="52">
        <v>0</v>
      </c>
      <c r="AR97" s="52">
        <v>0</v>
      </c>
      <c r="AS97" s="52">
        <v>0</v>
      </c>
      <c r="AT97" s="52">
        <v>0</v>
      </c>
      <c r="AU97" s="52">
        <v>0</v>
      </c>
      <c r="AV97" s="52">
        <v>0</v>
      </c>
      <c r="AW97" s="52">
        <v>0</v>
      </c>
      <c r="AX97" s="52">
        <v>0</v>
      </c>
    </row>
    <row r="98" spans="1:50" x14ac:dyDescent="0.25">
      <c r="A98" s="2" t="s">
        <v>87</v>
      </c>
      <c r="B98" s="2" t="s">
        <v>99</v>
      </c>
      <c r="C98">
        <v>28</v>
      </c>
      <c r="D98">
        <v>0</v>
      </c>
      <c r="E98">
        <v>487</v>
      </c>
      <c r="F98">
        <v>23</v>
      </c>
      <c r="G98">
        <v>524</v>
      </c>
      <c r="H98">
        <v>23</v>
      </c>
      <c r="I98">
        <v>579</v>
      </c>
      <c r="J98">
        <v>26</v>
      </c>
      <c r="K98">
        <v>587</v>
      </c>
      <c r="L98">
        <v>36</v>
      </c>
      <c r="M98">
        <v>710</v>
      </c>
      <c r="N98">
        <v>274</v>
      </c>
      <c r="O98">
        <v>717</v>
      </c>
      <c r="P98">
        <v>276</v>
      </c>
      <c r="Q98">
        <v>720</v>
      </c>
      <c r="R98">
        <v>279</v>
      </c>
      <c r="S98">
        <v>722</v>
      </c>
      <c r="T98">
        <v>280</v>
      </c>
      <c r="U98">
        <v>727</v>
      </c>
      <c r="V98">
        <v>282</v>
      </c>
      <c r="W98" s="52">
        <v>0</v>
      </c>
      <c r="X98" s="52">
        <v>0</v>
      </c>
      <c r="Y98" s="52">
        <v>0</v>
      </c>
      <c r="Z98" s="52">
        <v>0</v>
      </c>
      <c r="AA98" s="52">
        <v>0</v>
      </c>
      <c r="AB98" s="52">
        <v>0</v>
      </c>
      <c r="AC98" s="52">
        <v>0</v>
      </c>
      <c r="AD98" s="52">
        <v>0</v>
      </c>
      <c r="AE98" s="52">
        <v>0</v>
      </c>
      <c r="AF98" s="52">
        <v>0</v>
      </c>
      <c r="AG98" s="52">
        <v>0</v>
      </c>
      <c r="AH98" s="52">
        <v>0</v>
      </c>
      <c r="AI98" s="52">
        <v>0</v>
      </c>
      <c r="AJ98" s="52">
        <v>0</v>
      </c>
      <c r="AK98" s="52">
        <v>0</v>
      </c>
      <c r="AL98" s="52">
        <v>0</v>
      </c>
      <c r="AM98" s="52">
        <v>0</v>
      </c>
      <c r="AN98" s="52">
        <v>0</v>
      </c>
      <c r="AO98" s="52">
        <v>0</v>
      </c>
      <c r="AP98" s="52">
        <v>0</v>
      </c>
      <c r="AQ98" s="52">
        <v>0</v>
      </c>
      <c r="AR98" s="52">
        <v>0</v>
      </c>
      <c r="AS98" s="52">
        <v>0</v>
      </c>
      <c r="AT98" s="52">
        <v>0</v>
      </c>
      <c r="AU98" s="52">
        <v>0</v>
      </c>
      <c r="AV98" s="52">
        <v>0</v>
      </c>
      <c r="AW98" s="52">
        <v>0</v>
      </c>
      <c r="AX98" s="52">
        <v>0</v>
      </c>
    </row>
    <row r="99" spans="1:50" x14ac:dyDescent="0.25">
      <c r="A99" s="2" t="s">
        <v>87</v>
      </c>
      <c r="B99" s="2" t="s">
        <v>87</v>
      </c>
      <c r="C99">
        <v>9</v>
      </c>
      <c r="D99">
        <v>0</v>
      </c>
      <c r="E99">
        <v>14</v>
      </c>
      <c r="F99">
        <v>0</v>
      </c>
      <c r="G99">
        <v>15</v>
      </c>
      <c r="H99">
        <v>0</v>
      </c>
      <c r="I99">
        <v>16</v>
      </c>
      <c r="J99">
        <v>0</v>
      </c>
      <c r="K99">
        <v>17</v>
      </c>
      <c r="L99">
        <v>0</v>
      </c>
      <c r="M99">
        <v>17</v>
      </c>
      <c r="N99">
        <v>0</v>
      </c>
      <c r="O99">
        <v>17</v>
      </c>
      <c r="P99">
        <v>0</v>
      </c>
      <c r="Q99">
        <v>18</v>
      </c>
      <c r="R99">
        <v>0</v>
      </c>
      <c r="S99">
        <v>18</v>
      </c>
      <c r="T99">
        <v>0</v>
      </c>
      <c r="U99">
        <v>19</v>
      </c>
      <c r="V99">
        <v>0</v>
      </c>
      <c r="W99" s="52">
        <v>0</v>
      </c>
      <c r="X99" s="52">
        <v>0</v>
      </c>
      <c r="Y99" s="52">
        <v>0</v>
      </c>
      <c r="Z99" s="52">
        <v>0</v>
      </c>
      <c r="AA99" s="52">
        <v>0</v>
      </c>
      <c r="AB99" s="52">
        <v>0</v>
      </c>
      <c r="AC99" s="52">
        <v>0</v>
      </c>
      <c r="AD99" s="52">
        <v>0</v>
      </c>
      <c r="AE99" s="52">
        <v>0</v>
      </c>
      <c r="AF99" s="52">
        <v>0</v>
      </c>
      <c r="AG99" s="52">
        <v>0</v>
      </c>
      <c r="AH99" s="52">
        <v>0</v>
      </c>
      <c r="AI99" s="52">
        <v>0</v>
      </c>
      <c r="AJ99" s="52">
        <v>0</v>
      </c>
      <c r="AK99" s="52">
        <v>0</v>
      </c>
      <c r="AL99" s="52">
        <v>0</v>
      </c>
      <c r="AM99" s="52">
        <v>0</v>
      </c>
      <c r="AN99" s="52">
        <v>0</v>
      </c>
      <c r="AO99" s="52">
        <v>0</v>
      </c>
      <c r="AP99" s="52">
        <v>0</v>
      </c>
      <c r="AQ99" s="52">
        <v>0</v>
      </c>
      <c r="AR99" s="52">
        <v>0</v>
      </c>
      <c r="AS99" s="52">
        <v>0</v>
      </c>
      <c r="AT99" s="52">
        <v>0</v>
      </c>
      <c r="AU99" s="52">
        <v>0</v>
      </c>
      <c r="AV99" s="52">
        <v>0</v>
      </c>
      <c r="AW99" s="52">
        <v>0</v>
      </c>
      <c r="AX99" s="52">
        <v>0</v>
      </c>
    </row>
    <row r="100" spans="1:50" x14ac:dyDescent="0.25">
      <c r="A100" s="2" t="s">
        <v>87</v>
      </c>
      <c r="B100" s="2" t="s">
        <v>100</v>
      </c>
      <c r="W100" s="52">
        <v>0</v>
      </c>
      <c r="X100" s="52">
        <v>0</v>
      </c>
      <c r="Y100" s="52">
        <v>0</v>
      </c>
      <c r="Z100" s="52">
        <v>0</v>
      </c>
      <c r="AA100" s="52">
        <v>0</v>
      </c>
      <c r="AB100" s="52">
        <v>0</v>
      </c>
      <c r="AC100" s="52">
        <v>0</v>
      </c>
      <c r="AD100" s="52">
        <v>0</v>
      </c>
      <c r="AE100" s="52">
        <v>0</v>
      </c>
      <c r="AF100" s="52">
        <v>0</v>
      </c>
      <c r="AG100" s="52">
        <v>0</v>
      </c>
      <c r="AH100" s="52">
        <v>0</v>
      </c>
      <c r="AI100" s="52">
        <v>0</v>
      </c>
      <c r="AJ100" s="52">
        <v>0</v>
      </c>
      <c r="AK100" s="52">
        <v>0</v>
      </c>
      <c r="AL100" s="52">
        <v>0</v>
      </c>
      <c r="AM100" s="52">
        <v>0</v>
      </c>
      <c r="AN100" s="52">
        <v>0</v>
      </c>
      <c r="AO100" s="52">
        <v>0</v>
      </c>
      <c r="AP100" s="52">
        <v>0</v>
      </c>
      <c r="AQ100" s="52">
        <v>0</v>
      </c>
      <c r="AR100" s="52">
        <v>0</v>
      </c>
      <c r="AS100" s="52">
        <v>0</v>
      </c>
      <c r="AT100" s="52">
        <v>0</v>
      </c>
      <c r="AU100" s="52">
        <v>0</v>
      </c>
      <c r="AV100" s="52">
        <v>0</v>
      </c>
      <c r="AW100" s="52">
        <v>0</v>
      </c>
      <c r="AX100" s="52">
        <v>0</v>
      </c>
    </row>
    <row r="101" spans="1:50" x14ac:dyDescent="0.25">
      <c r="A101" s="2" t="s">
        <v>87</v>
      </c>
      <c r="B101" s="2" t="s">
        <v>101</v>
      </c>
      <c r="C101">
        <v>3</v>
      </c>
      <c r="D101">
        <v>0</v>
      </c>
      <c r="E101">
        <v>8</v>
      </c>
      <c r="F101">
        <v>0</v>
      </c>
      <c r="G101">
        <v>11</v>
      </c>
      <c r="H101">
        <v>0</v>
      </c>
      <c r="I101">
        <v>19</v>
      </c>
      <c r="J101">
        <v>3</v>
      </c>
      <c r="K101">
        <v>19</v>
      </c>
      <c r="L101">
        <v>3</v>
      </c>
      <c r="M101">
        <v>21</v>
      </c>
      <c r="N101">
        <v>25</v>
      </c>
      <c r="O101">
        <v>24</v>
      </c>
      <c r="P101">
        <v>103</v>
      </c>
      <c r="Q101">
        <v>27</v>
      </c>
      <c r="R101">
        <v>141</v>
      </c>
      <c r="S101">
        <v>29</v>
      </c>
      <c r="T101">
        <v>181</v>
      </c>
      <c r="U101">
        <v>119</v>
      </c>
      <c r="V101">
        <v>217</v>
      </c>
      <c r="W101" s="52">
        <v>0</v>
      </c>
      <c r="X101" s="52">
        <v>0</v>
      </c>
      <c r="Y101" s="52">
        <v>0</v>
      </c>
      <c r="Z101" s="52">
        <v>0</v>
      </c>
      <c r="AA101" s="52">
        <v>0</v>
      </c>
      <c r="AB101" s="52">
        <v>0</v>
      </c>
      <c r="AC101" s="52">
        <v>0</v>
      </c>
      <c r="AD101" s="52">
        <v>0</v>
      </c>
      <c r="AE101" s="52">
        <v>0</v>
      </c>
      <c r="AF101" s="52">
        <v>0</v>
      </c>
      <c r="AG101" s="52">
        <v>0</v>
      </c>
      <c r="AH101" s="52">
        <v>0</v>
      </c>
      <c r="AI101" s="52">
        <v>0</v>
      </c>
      <c r="AJ101" s="52">
        <v>0</v>
      </c>
      <c r="AK101" s="52">
        <v>0</v>
      </c>
      <c r="AL101" s="52">
        <v>0</v>
      </c>
      <c r="AM101" s="52">
        <v>0</v>
      </c>
      <c r="AN101" s="52">
        <v>0</v>
      </c>
      <c r="AO101" s="52">
        <v>0</v>
      </c>
      <c r="AP101" s="52">
        <v>0</v>
      </c>
      <c r="AQ101" s="52">
        <v>0</v>
      </c>
      <c r="AR101" s="52">
        <v>0</v>
      </c>
      <c r="AS101" s="52">
        <v>0</v>
      </c>
      <c r="AT101" s="52">
        <v>0</v>
      </c>
      <c r="AU101" s="52">
        <v>0</v>
      </c>
      <c r="AV101" s="52">
        <v>0</v>
      </c>
      <c r="AW101" s="52">
        <v>0</v>
      </c>
      <c r="AX101" s="52">
        <v>0</v>
      </c>
    </row>
    <row r="102" spans="1:50" s="50" customFormat="1" x14ac:dyDescent="0.25">
      <c r="A102" s="15" t="s">
        <v>87</v>
      </c>
      <c r="B102" s="15" t="s">
        <v>102</v>
      </c>
      <c r="C102" s="50">
        <v>1</v>
      </c>
      <c r="D102" s="50">
        <v>0</v>
      </c>
      <c r="E102" s="50">
        <v>4</v>
      </c>
      <c r="F102" s="50">
        <v>0</v>
      </c>
      <c r="G102" s="50">
        <v>4</v>
      </c>
      <c r="H102" s="50">
        <v>0</v>
      </c>
      <c r="I102" s="50">
        <v>4</v>
      </c>
      <c r="J102" s="50">
        <v>0</v>
      </c>
      <c r="K102" s="50">
        <v>4</v>
      </c>
      <c r="L102" s="50">
        <v>0</v>
      </c>
      <c r="M102" s="50">
        <v>4</v>
      </c>
      <c r="N102" s="50">
        <v>0</v>
      </c>
      <c r="O102" s="50">
        <v>5</v>
      </c>
      <c r="P102" s="50">
        <v>0</v>
      </c>
      <c r="Q102" s="50">
        <v>5</v>
      </c>
      <c r="R102" s="50">
        <v>0</v>
      </c>
      <c r="S102" s="50">
        <v>5</v>
      </c>
      <c r="T102" s="50">
        <v>0</v>
      </c>
      <c r="U102" s="50">
        <v>5</v>
      </c>
      <c r="V102" s="50">
        <v>0</v>
      </c>
      <c r="W102" s="54">
        <v>0</v>
      </c>
      <c r="X102" s="54">
        <v>0</v>
      </c>
      <c r="Y102" s="54">
        <v>0</v>
      </c>
      <c r="Z102" s="54">
        <v>0</v>
      </c>
      <c r="AA102" s="54">
        <v>0</v>
      </c>
      <c r="AB102" s="54">
        <v>0</v>
      </c>
      <c r="AC102" s="54">
        <v>0</v>
      </c>
      <c r="AD102" s="54">
        <v>0</v>
      </c>
      <c r="AE102" s="54">
        <v>0</v>
      </c>
      <c r="AF102" s="54">
        <v>0</v>
      </c>
      <c r="AG102" s="54">
        <v>0</v>
      </c>
      <c r="AH102" s="54">
        <v>0</v>
      </c>
      <c r="AI102" s="54">
        <v>0</v>
      </c>
      <c r="AJ102" s="54">
        <v>0</v>
      </c>
      <c r="AK102" s="54">
        <v>0</v>
      </c>
      <c r="AL102" s="54">
        <v>0</v>
      </c>
      <c r="AM102" s="54">
        <v>0</v>
      </c>
      <c r="AN102" s="54">
        <v>0</v>
      </c>
      <c r="AO102" s="54">
        <v>0</v>
      </c>
      <c r="AP102" s="54">
        <v>0</v>
      </c>
      <c r="AQ102" s="54">
        <v>0</v>
      </c>
      <c r="AR102" s="54">
        <v>0</v>
      </c>
      <c r="AS102" s="54">
        <v>0</v>
      </c>
      <c r="AT102" s="54">
        <v>0</v>
      </c>
      <c r="AU102" s="54">
        <v>0</v>
      </c>
      <c r="AV102" s="54">
        <v>0</v>
      </c>
      <c r="AW102" s="54">
        <v>0</v>
      </c>
      <c r="AX102" s="54">
        <v>0</v>
      </c>
    </row>
    <row r="103" spans="1:50" x14ac:dyDescent="0.25">
      <c r="A103" s="2" t="s">
        <v>103</v>
      </c>
      <c r="B103" s="2" t="s">
        <v>104</v>
      </c>
      <c r="C103" s="13">
        <v>19</v>
      </c>
      <c r="D103" s="13">
        <v>1</v>
      </c>
      <c r="E103" s="13">
        <v>22</v>
      </c>
      <c r="F103" s="13">
        <v>1</v>
      </c>
      <c r="G103" s="13">
        <v>25</v>
      </c>
      <c r="H103" s="13">
        <v>17</v>
      </c>
      <c r="I103" s="13">
        <v>83</v>
      </c>
      <c r="J103" s="13">
        <v>63</v>
      </c>
      <c r="K103" s="13">
        <v>87</v>
      </c>
      <c r="L103" s="13">
        <v>78</v>
      </c>
      <c r="M103" s="13">
        <v>100</v>
      </c>
      <c r="N103" s="13">
        <v>128</v>
      </c>
      <c r="O103" s="13">
        <v>114</v>
      </c>
      <c r="P103" s="13">
        <v>170</v>
      </c>
      <c r="Q103" s="13">
        <v>121</v>
      </c>
      <c r="R103" s="13">
        <v>253</v>
      </c>
      <c r="S103" s="13">
        <v>130</v>
      </c>
      <c r="T103" s="13">
        <v>284</v>
      </c>
      <c r="U103" s="13">
        <v>143</v>
      </c>
      <c r="V103" s="13">
        <v>299</v>
      </c>
      <c r="W103" s="58">
        <v>0</v>
      </c>
      <c r="X103" s="58">
        <v>0</v>
      </c>
      <c r="Y103" s="58">
        <v>0</v>
      </c>
      <c r="Z103" s="58">
        <v>0</v>
      </c>
      <c r="AA103" s="58">
        <v>0</v>
      </c>
      <c r="AB103" s="58">
        <v>0</v>
      </c>
      <c r="AC103" s="58">
        <v>0</v>
      </c>
      <c r="AD103" s="58">
        <v>0</v>
      </c>
      <c r="AE103" s="58">
        <v>0</v>
      </c>
      <c r="AF103" s="58">
        <v>0</v>
      </c>
      <c r="AG103" s="58">
        <v>0</v>
      </c>
      <c r="AH103" s="58">
        <v>0</v>
      </c>
      <c r="AI103" s="58">
        <v>0</v>
      </c>
      <c r="AJ103" s="58">
        <v>0</v>
      </c>
      <c r="AK103" s="58">
        <v>0</v>
      </c>
      <c r="AL103" s="58">
        <v>0</v>
      </c>
      <c r="AM103" s="58">
        <v>0</v>
      </c>
      <c r="AN103" s="58">
        <v>0</v>
      </c>
      <c r="AO103" s="58">
        <v>0</v>
      </c>
      <c r="AP103" s="58">
        <v>0</v>
      </c>
      <c r="AQ103" s="58">
        <v>0</v>
      </c>
      <c r="AR103" s="58">
        <v>0</v>
      </c>
      <c r="AS103" s="58">
        <v>0</v>
      </c>
      <c r="AT103" s="58">
        <v>0</v>
      </c>
      <c r="AU103" s="58">
        <v>0</v>
      </c>
      <c r="AV103" s="58">
        <v>0</v>
      </c>
      <c r="AW103" s="58">
        <v>0</v>
      </c>
      <c r="AX103" s="58">
        <v>0</v>
      </c>
    </row>
    <row r="104" spans="1:50" x14ac:dyDescent="0.25">
      <c r="A104" s="2" t="s">
        <v>103</v>
      </c>
      <c r="B104" s="2" t="s">
        <v>105</v>
      </c>
      <c r="W104" s="58">
        <v>0</v>
      </c>
      <c r="X104" s="58">
        <v>0</v>
      </c>
      <c r="Y104" s="58">
        <v>0</v>
      </c>
      <c r="Z104" s="58">
        <v>0</v>
      </c>
      <c r="AA104" s="58">
        <v>0</v>
      </c>
      <c r="AB104" s="58">
        <v>0</v>
      </c>
      <c r="AC104" s="58">
        <v>0</v>
      </c>
      <c r="AD104" s="58">
        <v>0</v>
      </c>
      <c r="AE104" s="58">
        <v>0</v>
      </c>
      <c r="AF104" s="58">
        <v>0</v>
      </c>
      <c r="AG104" s="58">
        <v>0</v>
      </c>
      <c r="AH104" s="58">
        <v>0</v>
      </c>
      <c r="AI104" s="58">
        <v>0</v>
      </c>
      <c r="AJ104" s="58">
        <v>0</v>
      </c>
      <c r="AK104" s="58">
        <v>0</v>
      </c>
      <c r="AL104" s="58">
        <v>0</v>
      </c>
      <c r="AM104" s="58">
        <v>0</v>
      </c>
      <c r="AN104" s="58">
        <v>0</v>
      </c>
      <c r="AO104" s="58">
        <v>0</v>
      </c>
      <c r="AP104" s="58">
        <v>0</v>
      </c>
      <c r="AQ104" s="58">
        <v>0</v>
      </c>
      <c r="AR104" s="58">
        <v>0</v>
      </c>
      <c r="AS104" s="58">
        <v>0</v>
      </c>
      <c r="AT104" s="58">
        <v>0</v>
      </c>
      <c r="AU104" s="58">
        <v>0</v>
      </c>
      <c r="AV104" s="58">
        <v>0</v>
      </c>
      <c r="AW104" s="58">
        <v>0</v>
      </c>
      <c r="AX104" s="58">
        <v>0</v>
      </c>
    </row>
    <row r="105" spans="1:50" x14ac:dyDescent="0.25">
      <c r="A105" s="2" t="s">
        <v>103</v>
      </c>
      <c r="B105" s="2" t="s">
        <v>106</v>
      </c>
      <c r="M105">
        <v>83</v>
      </c>
      <c r="N105">
        <v>25</v>
      </c>
      <c r="O105">
        <v>172</v>
      </c>
      <c r="P105">
        <v>43</v>
      </c>
      <c r="Q105">
        <v>225</v>
      </c>
      <c r="R105">
        <v>77</v>
      </c>
      <c r="S105">
        <v>345</v>
      </c>
      <c r="T105">
        <v>100</v>
      </c>
      <c r="U105">
        <v>491</v>
      </c>
      <c r="V105">
        <v>110</v>
      </c>
      <c r="W105" s="58">
        <v>0</v>
      </c>
      <c r="X105" s="58">
        <v>0</v>
      </c>
      <c r="Y105" s="58">
        <v>0</v>
      </c>
      <c r="Z105" s="58">
        <v>0</v>
      </c>
      <c r="AA105" s="58">
        <v>0</v>
      </c>
      <c r="AB105" s="58">
        <v>0</v>
      </c>
      <c r="AC105" s="58">
        <v>0</v>
      </c>
      <c r="AD105" s="58">
        <v>0</v>
      </c>
      <c r="AE105" s="58">
        <v>0</v>
      </c>
      <c r="AF105" s="58">
        <v>0</v>
      </c>
      <c r="AG105" s="58">
        <v>0</v>
      </c>
      <c r="AH105" s="58">
        <v>0</v>
      </c>
      <c r="AI105" s="58">
        <v>0</v>
      </c>
      <c r="AJ105" s="58">
        <v>0</v>
      </c>
      <c r="AK105" s="58">
        <v>0</v>
      </c>
      <c r="AL105" s="58">
        <v>0</v>
      </c>
      <c r="AM105" s="58">
        <v>0</v>
      </c>
      <c r="AN105" s="58">
        <v>0</v>
      </c>
      <c r="AO105" s="58">
        <v>0</v>
      </c>
      <c r="AP105" s="58">
        <v>0</v>
      </c>
      <c r="AQ105" s="58">
        <v>0</v>
      </c>
      <c r="AR105" s="58">
        <v>0</v>
      </c>
      <c r="AS105" s="58">
        <v>0</v>
      </c>
      <c r="AT105" s="58">
        <v>0</v>
      </c>
      <c r="AU105" s="58">
        <v>0</v>
      </c>
      <c r="AV105" s="58">
        <v>0</v>
      </c>
      <c r="AW105" s="58">
        <v>0</v>
      </c>
      <c r="AX105" s="58">
        <v>0</v>
      </c>
    </row>
    <row r="106" spans="1:50" x14ac:dyDescent="0.25">
      <c r="A106" s="2" t="s">
        <v>103</v>
      </c>
      <c r="B106" s="2" t="s">
        <v>107</v>
      </c>
      <c r="W106" s="58">
        <v>0</v>
      </c>
      <c r="X106" s="58">
        <v>0</v>
      </c>
      <c r="Y106" s="58">
        <v>0</v>
      </c>
      <c r="Z106" s="58">
        <v>0</v>
      </c>
      <c r="AA106" s="58">
        <v>0</v>
      </c>
      <c r="AB106" s="58">
        <v>0</v>
      </c>
      <c r="AC106" s="58">
        <v>0</v>
      </c>
      <c r="AD106" s="58">
        <v>0</v>
      </c>
      <c r="AE106" s="58">
        <v>0</v>
      </c>
      <c r="AF106" s="58">
        <v>0</v>
      </c>
      <c r="AG106" s="58">
        <v>0</v>
      </c>
      <c r="AH106" s="58">
        <v>0</v>
      </c>
      <c r="AI106" s="58">
        <v>0</v>
      </c>
      <c r="AJ106" s="58">
        <v>0</v>
      </c>
      <c r="AK106" s="58">
        <v>0</v>
      </c>
      <c r="AL106" s="58">
        <v>0</v>
      </c>
      <c r="AM106" s="58">
        <v>0</v>
      </c>
      <c r="AN106" s="58">
        <v>0</v>
      </c>
      <c r="AO106" s="58">
        <v>0</v>
      </c>
      <c r="AP106" s="58">
        <v>0</v>
      </c>
      <c r="AQ106" s="58">
        <v>0</v>
      </c>
      <c r="AR106" s="58">
        <v>0</v>
      </c>
      <c r="AS106" s="58">
        <v>0</v>
      </c>
      <c r="AT106" s="58">
        <v>0</v>
      </c>
      <c r="AU106" s="58">
        <v>0</v>
      </c>
      <c r="AV106" s="58">
        <v>0</v>
      </c>
      <c r="AW106" s="58">
        <v>0</v>
      </c>
      <c r="AX106" s="58">
        <v>0</v>
      </c>
    </row>
    <row r="107" spans="1:50" x14ac:dyDescent="0.25">
      <c r="A107" s="2" t="s">
        <v>103</v>
      </c>
      <c r="B107" s="2" t="s">
        <v>108</v>
      </c>
      <c r="C107">
        <v>5</v>
      </c>
      <c r="D107">
        <v>0</v>
      </c>
      <c r="E107">
        <v>355</v>
      </c>
      <c r="F107">
        <v>14</v>
      </c>
      <c r="G107">
        <v>461</v>
      </c>
      <c r="H107">
        <v>25</v>
      </c>
      <c r="I107">
        <v>589</v>
      </c>
      <c r="J107">
        <v>42</v>
      </c>
      <c r="K107">
        <v>626</v>
      </c>
      <c r="L107">
        <v>45</v>
      </c>
      <c r="M107">
        <v>706</v>
      </c>
      <c r="N107">
        <v>54</v>
      </c>
      <c r="O107">
        <v>846</v>
      </c>
      <c r="P107">
        <v>59</v>
      </c>
      <c r="Q107">
        <v>925</v>
      </c>
      <c r="R107">
        <v>61</v>
      </c>
      <c r="S107">
        <v>1202</v>
      </c>
      <c r="T107">
        <v>66</v>
      </c>
      <c r="U107">
        <v>1758</v>
      </c>
      <c r="V107">
        <v>66</v>
      </c>
      <c r="W107" s="58">
        <v>0</v>
      </c>
      <c r="X107" s="58">
        <v>0</v>
      </c>
      <c r="Y107" s="58">
        <v>0</v>
      </c>
      <c r="Z107" s="58">
        <v>0</v>
      </c>
      <c r="AA107" s="58">
        <v>0</v>
      </c>
      <c r="AB107" s="58">
        <v>0</v>
      </c>
      <c r="AC107" s="58">
        <v>0</v>
      </c>
      <c r="AD107" s="58">
        <v>0</v>
      </c>
      <c r="AE107" s="58">
        <v>0</v>
      </c>
      <c r="AF107" s="58">
        <v>0</v>
      </c>
      <c r="AG107" s="58">
        <v>0</v>
      </c>
      <c r="AH107" s="58">
        <v>0</v>
      </c>
      <c r="AI107" s="58">
        <v>0</v>
      </c>
      <c r="AJ107" s="58">
        <v>0</v>
      </c>
      <c r="AK107" s="58">
        <v>0</v>
      </c>
      <c r="AL107" s="58">
        <v>0</v>
      </c>
      <c r="AM107" s="58">
        <v>0</v>
      </c>
      <c r="AN107" s="58">
        <v>0</v>
      </c>
      <c r="AO107" s="58">
        <v>0</v>
      </c>
      <c r="AP107" s="58">
        <v>0</v>
      </c>
      <c r="AQ107" s="58">
        <v>0</v>
      </c>
      <c r="AR107" s="58">
        <v>0</v>
      </c>
      <c r="AS107" s="58">
        <v>0</v>
      </c>
      <c r="AT107" s="58">
        <v>0</v>
      </c>
      <c r="AU107" s="58">
        <v>0</v>
      </c>
      <c r="AV107" s="58">
        <v>0</v>
      </c>
      <c r="AW107" s="58">
        <v>0</v>
      </c>
      <c r="AX107" s="58">
        <v>0</v>
      </c>
    </row>
    <row r="108" spans="1:50" x14ac:dyDescent="0.25">
      <c r="A108" s="2" t="s">
        <v>103</v>
      </c>
      <c r="B108" s="2" t="s">
        <v>109</v>
      </c>
      <c r="C108">
        <v>33</v>
      </c>
      <c r="D108">
        <v>0</v>
      </c>
      <c r="E108">
        <v>39</v>
      </c>
      <c r="F108">
        <v>0</v>
      </c>
      <c r="G108">
        <v>54</v>
      </c>
      <c r="H108">
        <v>0</v>
      </c>
      <c r="I108">
        <v>54</v>
      </c>
      <c r="J108">
        <v>0</v>
      </c>
      <c r="K108">
        <v>57</v>
      </c>
      <c r="L108">
        <v>0</v>
      </c>
      <c r="M108">
        <v>61</v>
      </c>
      <c r="N108">
        <v>3</v>
      </c>
      <c r="O108">
        <v>62</v>
      </c>
      <c r="P108">
        <v>4</v>
      </c>
      <c r="Q108">
        <v>65</v>
      </c>
      <c r="R108">
        <v>4</v>
      </c>
      <c r="S108">
        <v>67</v>
      </c>
      <c r="T108">
        <v>6</v>
      </c>
      <c r="U108">
        <v>70</v>
      </c>
      <c r="V108">
        <v>6</v>
      </c>
      <c r="W108" s="58">
        <v>0</v>
      </c>
      <c r="X108" s="58">
        <v>0</v>
      </c>
      <c r="Y108" s="58">
        <v>0</v>
      </c>
      <c r="Z108" s="58">
        <v>0</v>
      </c>
      <c r="AA108" s="58">
        <v>0</v>
      </c>
      <c r="AB108" s="58">
        <v>0</v>
      </c>
      <c r="AC108" s="58">
        <v>0</v>
      </c>
      <c r="AD108" s="58">
        <v>0</v>
      </c>
      <c r="AE108" s="58">
        <v>0</v>
      </c>
      <c r="AF108" s="58">
        <v>0</v>
      </c>
      <c r="AG108" s="58">
        <v>0</v>
      </c>
      <c r="AH108" s="58">
        <v>0</v>
      </c>
      <c r="AI108" s="58">
        <v>0</v>
      </c>
      <c r="AJ108" s="58">
        <v>0</v>
      </c>
      <c r="AK108" s="58">
        <v>0</v>
      </c>
      <c r="AL108" s="58">
        <v>0</v>
      </c>
      <c r="AM108" s="58">
        <v>0</v>
      </c>
      <c r="AN108" s="58">
        <v>0</v>
      </c>
      <c r="AO108" s="58">
        <v>0</v>
      </c>
      <c r="AP108" s="58">
        <v>0</v>
      </c>
      <c r="AQ108" s="58">
        <v>0</v>
      </c>
      <c r="AR108" s="58">
        <v>0</v>
      </c>
      <c r="AS108" s="58">
        <v>0</v>
      </c>
      <c r="AT108" s="58">
        <v>0</v>
      </c>
      <c r="AU108" s="58">
        <v>0</v>
      </c>
      <c r="AV108" s="58">
        <v>0</v>
      </c>
      <c r="AW108" s="58">
        <v>0</v>
      </c>
      <c r="AX108" s="58">
        <v>0</v>
      </c>
    </row>
    <row r="109" spans="1:50" x14ac:dyDescent="0.25">
      <c r="A109" s="2" t="s">
        <v>103</v>
      </c>
      <c r="B109" s="2" t="s">
        <v>110</v>
      </c>
      <c r="W109" s="58">
        <v>0</v>
      </c>
      <c r="X109" s="58">
        <v>0</v>
      </c>
      <c r="Y109" s="58">
        <v>0</v>
      </c>
      <c r="Z109" s="58">
        <v>0</v>
      </c>
      <c r="AA109" s="58">
        <v>0</v>
      </c>
      <c r="AB109" s="58">
        <v>0</v>
      </c>
      <c r="AC109" s="58">
        <v>0</v>
      </c>
      <c r="AD109" s="58">
        <v>0</v>
      </c>
      <c r="AE109" s="58">
        <v>0</v>
      </c>
      <c r="AF109" s="58">
        <v>0</v>
      </c>
      <c r="AG109" s="58">
        <v>0</v>
      </c>
      <c r="AH109" s="58">
        <v>0</v>
      </c>
      <c r="AI109" s="58">
        <v>0</v>
      </c>
      <c r="AJ109" s="58">
        <v>0</v>
      </c>
      <c r="AK109" s="58">
        <v>0</v>
      </c>
      <c r="AL109" s="58">
        <v>0</v>
      </c>
      <c r="AM109" s="58">
        <v>0</v>
      </c>
      <c r="AN109" s="58">
        <v>0</v>
      </c>
      <c r="AO109" s="58">
        <v>0</v>
      </c>
      <c r="AP109" s="58">
        <v>0</v>
      </c>
      <c r="AQ109" s="58">
        <v>0</v>
      </c>
      <c r="AR109" s="58">
        <v>0</v>
      </c>
      <c r="AS109" s="58">
        <v>0</v>
      </c>
      <c r="AT109" s="58">
        <v>0</v>
      </c>
      <c r="AU109" s="58">
        <v>0</v>
      </c>
      <c r="AV109" s="58">
        <v>0</v>
      </c>
      <c r="AW109" s="58">
        <v>0</v>
      </c>
      <c r="AX109" s="58">
        <v>0</v>
      </c>
    </row>
    <row r="110" spans="1:50" s="50" customFormat="1" x14ac:dyDescent="0.25">
      <c r="A110" s="15" t="s">
        <v>103</v>
      </c>
      <c r="B110" s="15" t="s">
        <v>111</v>
      </c>
      <c r="C110" s="50">
        <v>17</v>
      </c>
      <c r="D110" s="50">
        <v>2</v>
      </c>
      <c r="E110" s="50">
        <v>18</v>
      </c>
      <c r="F110" s="50">
        <v>2</v>
      </c>
      <c r="G110" s="50">
        <v>51</v>
      </c>
      <c r="H110" s="50">
        <v>8</v>
      </c>
      <c r="I110" s="50">
        <v>121</v>
      </c>
      <c r="J110" s="50">
        <v>52</v>
      </c>
      <c r="K110" s="50">
        <v>142</v>
      </c>
      <c r="L110" s="50">
        <v>73</v>
      </c>
      <c r="M110" s="50">
        <v>293</v>
      </c>
      <c r="N110" s="50">
        <v>117</v>
      </c>
      <c r="O110" s="50">
        <v>542</v>
      </c>
      <c r="P110" s="50">
        <v>168</v>
      </c>
      <c r="Q110" s="50">
        <v>852</v>
      </c>
      <c r="R110" s="50">
        <v>186</v>
      </c>
      <c r="S110" s="50">
        <v>1272</v>
      </c>
      <c r="T110" s="50">
        <v>243</v>
      </c>
      <c r="U110" s="50">
        <v>1668</v>
      </c>
      <c r="V110" s="50">
        <v>292</v>
      </c>
      <c r="W110" s="61">
        <v>0</v>
      </c>
      <c r="X110" s="61">
        <v>0</v>
      </c>
      <c r="Y110" s="61">
        <v>0</v>
      </c>
      <c r="Z110" s="61">
        <v>0</v>
      </c>
      <c r="AA110" s="61">
        <v>0</v>
      </c>
      <c r="AB110" s="61">
        <v>0</v>
      </c>
      <c r="AC110" s="61">
        <v>0</v>
      </c>
      <c r="AD110" s="61">
        <v>0</v>
      </c>
      <c r="AE110" s="61">
        <v>0</v>
      </c>
      <c r="AF110" s="61">
        <v>0</v>
      </c>
      <c r="AG110" s="61">
        <v>0</v>
      </c>
      <c r="AH110" s="61">
        <v>0</v>
      </c>
      <c r="AI110" s="61">
        <v>0</v>
      </c>
      <c r="AJ110" s="61">
        <v>0</v>
      </c>
      <c r="AK110" s="61">
        <v>0</v>
      </c>
      <c r="AL110" s="61">
        <v>0</v>
      </c>
      <c r="AM110" s="61">
        <v>0</v>
      </c>
      <c r="AN110" s="61">
        <v>0</v>
      </c>
      <c r="AO110" s="61">
        <v>0</v>
      </c>
      <c r="AP110" s="61">
        <v>0</v>
      </c>
      <c r="AQ110" s="61">
        <v>0</v>
      </c>
      <c r="AR110" s="61">
        <v>0</v>
      </c>
      <c r="AS110" s="61">
        <v>0</v>
      </c>
      <c r="AT110" s="61">
        <v>0</v>
      </c>
      <c r="AU110" s="61">
        <v>0</v>
      </c>
      <c r="AV110" s="61">
        <v>0</v>
      </c>
      <c r="AW110" s="61">
        <v>0</v>
      </c>
      <c r="AX110" s="61">
        <v>0</v>
      </c>
    </row>
    <row r="111" spans="1:50" x14ac:dyDescent="0.25">
      <c r="A111" s="2" t="s">
        <v>112</v>
      </c>
      <c r="B111" s="2" t="s">
        <v>135</v>
      </c>
      <c r="AQ111" s="58">
        <v>0</v>
      </c>
      <c r="AR111" s="58">
        <v>0</v>
      </c>
      <c r="AS111" s="58">
        <v>0</v>
      </c>
      <c r="AT111" s="58">
        <v>0</v>
      </c>
      <c r="AU111" s="58">
        <v>0</v>
      </c>
      <c r="AV111" s="58">
        <v>0</v>
      </c>
      <c r="AW111" s="58">
        <v>0</v>
      </c>
      <c r="AX111" s="58">
        <v>0</v>
      </c>
    </row>
    <row r="112" spans="1:50" x14ac:dyDescent="0.25">
      <c r="A112" s="2" t="s">
        <v>112</v>
      </c>
      <c r="B112" s="2" t="s">
        <v>113</v>
      </c>
      <c r="AQ112" s="58">
        <v>0</v>
      </c>
      <c r="AR112" s="58">
        <v>0</v>
      </c>
      <c r="AS112" s="58">
        <v>0</v>
      </c>
      <c r="AT112" s="58">
        <v>0</v>
      </c>
      <c r="AU112" s="58">
        <v>0</v>
      </c>
      <c r="AV112" s="58">
        <v>0</v>
      </c>
      <c r="AW112" s="58">
        <v>0</v>
      </c>
      <c r="AX112" s="58">
        <v>0</v>
      </c>
    </row>
    <row r="113" spans="1:50" x14ac:dyDescent="0.25">
      <c r="A113" s="2" t="s">
        <v>112</v>
      </c>
      <c r="B113" s="2" t="s">
        <v>114</v>
      </c>
      <c r="AQ113" s="58">
        <v>0</v>
      </c>
      <c r="AR113" s="58">
        <v>0</v>
      </c>
      <c r="AS113" s="58">
        <v>0</v>
      </c>
      <c r="AT113" s="58">
        <v>0</v>
      </c>
      <c r="AU113" s="58">
        <v>0</v>
      </c>
      <c r="AV113" s="58">
        <v>0</v>
      </c>
      <c r="AW113" s="58">
        <v>0</v>
      </c>
      <c r="AX113" s="58">
        <v>0</v>
      </c>
    </row>
    <row r="114" spans="1:50" x14ac:dyDescent="0.25">
      <c r="A114" s="2" t="s">
        <v>112</v>
      </c>
      <c r="B114" s="2" t="s">
        <v>115</v>
      </c>
      <c r="I114">
        <v>0</v>
      </c>
      <c r="J114">
        <v>37</v>
      </c>
      <c r="K114">
        <v>6</v>
      </c>
      <c r="L114">
        <v>47</v>
      </c>
      <c r="M114">
        <v>53</v>
      </c>
      <c r="N114">
        <v>81</v>
      </c>
      <c r="O114">
        <v>75</v>
      </c>
      <c r="P114">
        <v>88</v>
      </c>
      <c r="Q114">
        <v>87</v>
      </c>
      <c r="R114">
        <v>97</v>
      </c>
      <c r="S114">
        <v>136</v>
      </c>
      <c r="T114">
        <v>120</v>
      </c>
      <c r="U114">
        <v>228</v>
      </c>
      <c r="V114">
        <v>132</v>
      </c>
      <c r="AQ114" s="58">
        <v>0</v>
      </c>
      <c r="AR114" s="58">
        <v>0</v>
      </c>
      <c r="AS114" s="58">
        <v>0</v>
      </c>
      <c r="AT114" s="58">
        <v>0</v>
      </c>
      <c r="AU114" s="58">
        <v>0</v>
      </c>
      <c r="AV114" s="58">
        <v>0</v>
      </c>
      <c r="AW114" s="58">
        <v>0</v>
      </c>
      <c r="AX114" s="58">
        <v>0</v>
      </c>
    </row>
    <row r="115" spans="1:50" x14ac:dyDescent="0.25">
      <c r="A115" s="2" t="s">
        <v>112</v>
      </c>
      <c r="B115" s="2" t="s">
        <v>116</v>
      </c>
      <c r="AQ115" s="58">
        <v>0</v>
      </c>
      <c r="AR115" s="58">
        <v>0</v>
      </c>
      <c r="AS115" s="58">
        <v>0</v>
      </c>
      <c r="AT115" s="58">
        <v>0</v>
      </c>
      <c r="AU115" s="58">
        <v>0</v>
      </c>
      <c r="AV115" s="58">
        <v>0</v>
      </c>
      <c r="AW115" s="58">
        <v>0</v>
      </c>
      <c r="AX115" s="58">
        <v>0</v>
      </c>
    </row>
    <row r="116" spans="1:50" x14ac:dyDescent="0.25">
      <c r="A116" s="2" t="s">
        <v>112</v>
      </c>
      <c r="B116" s="2" t="s">
        <v>117</v>
      </c>
      <c r="AQ116" s="58">
        <v>0</v>
      </c>
      <c r="AR116" s="58">
        <v>0</v>
      </c>
      <c r="AS116" s="58">
        <v>0</v>
      </c>
      <c r="AT116" s="58">
        <v>0</v>
      </c>
      <c r="AU116" s="58">
        <v>0</v>
      </c>
      <c r="AV116" s="58">
        <v>0</v>
      </c>
      <c r="AW116" s="58">
        <v>0</v>
      </c>
      <c r="AX116" s="58">
        <v>0</v>
      </c>
    </row>
    <row r="117" spans="1:50" x14ac:dyDescent="0.25">
      <c r="A117" s="2" t="s">
        <v>112</v>
      </c>
      <c r="B117" s="2" t="s">
        <v>118</v>
      </c>
      <c r="AQ117" s="58">
        <v>0</v>
      </c>
      <c r="AR117" s="58">
        <v>0</v>
      </c>
      <c r="AS117" s="58">
        <v>0</v>
      </c>
      <c r="AT117" s="58">
        <v>0</v>
      </c>
      <c r="AU117" s="58">
        <v>0</v>
      </c>
      <c r="AV117" s="58">
        <v>0</v>
      </c>
      <c r="AW117" s="58">
        <v>0</v>
      </c>
      <c r="AX117" s="58">
        <v>0</v>
      </c>
    </row>
    <row r="118" spans="1:50" x14ac:dyDescent="0.25">
      <c r="A118" s="2" t="s">
        <v>112</v>
      </c>
      <c r="B118" s="2" t="s">
        <v>112</v>
      </c>
      <c r="AQ118" s="58">
        <v>0</v>
      </c>
      <c r="AR118" s="58">
        <v>0</v>
      </c>
      <c r="AS118" s="58">
        <v>0</v>
      </c>
      <c r="AT118" s="58">
        <v>0</v>
      </c>
      <c r="AU118" s="58">
        <v>0</v>
      </c>
      <c r="AV118" s="58">
        <v>0</v>
      </c>
      <c r="AW118" s="58">
        <v>0</v>
      </c>
      <c r="AX118" s="58">
        <v>0</v>
      </c>
    </row>
    <row r="119" spans="1:50" x14ac:dyDescent="0.25">
      <c r="A119" s="2" t="s">
        <v>112</v>
      </c>
      <c r="B119" s="2" t="s">
        <v>119</v>
      </c>
      <c r="C119">
        <v>11</v>
      </c>
      <c r="D119">
        <v>0</v>
      </c>
      <c r="E119">
        <v>15</v>
      </c>
      <c r="F119">
        <v>0</v>
      </c>
      <c r="G119">
        <v>19</v>
      </c>
      <c r="H119">
        <v>0</v>
      </c>
      <c r="I119">
        <v>22</v>
      </c>
      <c r="J119">
        <v>0</v>
      </c>
      <c r="K119">
        <v>23</v>
      </c>
      <c r="L119">
        <v>0</v>
      </c>
      <c r="M119">
        <v>27</v>
      </c>
      <c r="N119">
        <v>1</v>
      </c>
      <c r="O119">
        <v>29</v>
      </c>
      <c r="P119">
        <v>1</v>
      </c>
      <c r="Q119">
        <v>32</v>
      </c>
      <c r="R119">
        <v>1</v>
      </c>
      <c r="S119">
        <v>39</v>
      </c>
      <c r="T119">
        <v>1</v>
      </c>
      <c r="U119">
        <v>52</v>
      </c>
      <c r="V119">
        <v>2</v>
      </c>
      <c r="W119">
        <v>68</v>
      </c>
      <c r="X119">
        <v>3</v>
      </c>
      <c r="Y119">
        <v>72</v>
      </c>
      <c r="Z119">
        <v>3</v>
      </c>
      <c r="AA119">
        <v>83</v>
      </c>
      <c r="AB119">
        <v>4</v>
      </c>
      <c r="AC119">
        <v>97</v>
      </c>
      <c r="AD119">
        <v>6</v>
      </c>
      <c r="AE119">
        <v>108</v>
      </c>
      <c r="AF119">
        <v>8</v>
      </c>
      <c r="AG119">
        <v>122</v>
      </c>
      <c r="AH119">
        <v>11</v>
      </c>
      <c r="AI119">
        <v>133</v>
      </c>
      <c r="AJ119">
        <v>13</v>
      </c>
      <c r="AK119">
        <v>135</v>
      </c>
      <c r="AL119">
        <v>14</v>
      </c>
      <c r="AM119">
        <v>144</v>
      </c>
      <c r="AN119">
        <v>15</v>
      </c>
      <c r="AO119">
        <v>150</v>
      </c>
      <c r="AP119">
        <v>16</v>
      </c>
      <c r="AQ119" s="58">
        <v>0</v>
      </c>
      <c r="AR119" s="58">
        <v>0</v>
      </c>
      <c r="AS119" s="58">
        <v>0</v>
      </c>
      <c r="AT119" s="58">
        <v>0</v>
      </c>
      <c r="AU119" s="58">
        <v>0</v>
      </c>
      <c r="AV119" s="58">
        <v>0</v>
      </c>
      <c r="AW119" s="58">
        <v>0</v>
      </c>
      <c r="AX119" s="58">
        <v>0</v>
      </c>
    </row>
    <row r="120" spans="1:50" x14ac:dyDescent="0.25">
      <c r="A120" s="2" t="s">
        <v>112</v>
      </c>
      <c r="B120" s="2" t="s">
        <v>120</v>
      </c>
      <c r="AQ120" s="58">
        <v>0</v>
      </c>
      <c r="AR120" s="58">
        <v>0</v>
      </c>
      <c r="AS120" s="58">
        <v>0</v>
      </c>
      <c r="AT120" s="58">
        <v>0</v>
      </c>
      <c r="AU120" s="58">
        <v>0</v>
      </c>
      <c r="AV120" s="58">
        <v>0</v>
      </c>
      <c r="AW120" s="58">
        <v>0</v>
      </c>
      <c r="AX120" s="58">
        <v>0</v>
      </c>
    </row>
  </sheetData>
  <mergeCells count="24">
    <mergeCell ref="AW10:AX10"/>
    <mergeCell ref="AA10:AB10"/>
    <mergeCell ref="AC10:AD10"/>
    <mergeCell ref="AE10:AF10"/>
    <mergeCell ref="AG10:AH10"/>
    <mergeCell ref="AI10:AJ10"/>
    <mergeCell ref="AK10:AL10"/>
    <mergeCell ref="AM10:AN10"/>
    <mergeCell ref="AO10:AP10"/>
    <mergeCell ref="AQ10:AR10"/>
    <mergeCell ref="AS10:AT10"/>
    <mergeCell ref="AU10:AV10"/>
    <mergeCell ref="Y10:Z10"/>
    <mergeCell ref="C10:D10"/>
    <mergeCell ref="E10:F10"/>
    <mergeCell ref="G10:H10"/>
    <mergeCell ref="I10:J10"/>
    <mergeCell ref="K10:L10"/>
    <mergeCell ref="M10:N10"/>
    <mergeCell ref="O10:P10"/>
    <mergeCell ref="Q10:R10"/>
    <mergeCell ref="S10:T10"/>
    <mergeCell ref="U10:V10"/>
    <mergeCell ref="W10:X10"/>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README - Meta Data</vt:lpstr>
      <vt:lpstr>Hazard Overview</vt:lpstr>
      <vt:lpstr>Preview - Fire</vt:lpstr>
      <vt:lpstr>Preview - Flood</vt:lpstr>
      <vt:lpstr>Preview - SLR</vt:lpstr>
      <vt:lpstr>Hazard Dictionary</vt:lpstr>
      <vt:lpstr>Fire Hazard Severity Zones</vt:lpstr>
      <vt:lpstr>FEMA Flood Zones</vt:lpstr>
      <vt:lpstr>SLR Raw</vt:lpstr>
      <vt:lpstr>Sea Level Rise</vt:lpstr>
      <vt:lpstr>Border Cities</vt:lpstr>
      <vt:lpstr>'Hazard Overview'!Jurisdiction</vt:lpstr>
    </vt:vector>
  </TitlesOfParts>
  <Manager/>
  <Company>MTC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Rachael Hartofelis</dc:creator>
  <cp:keywords/>
  <dc:description/>
  <cp:lastModifiedBy>Rachael Hartofelis</cp:lastModifiedBy>
  <cp:revision/>
  <dcterms:created xsi:type="dcterms:W3CDTF">2021-01-13T20:06:18Z</dcterms:created>
  <dcterms:modified xsi:type="dcterms:W3CDTF">2021-07-23T00:00:08Z</dcterms:modified>
  <cp:category/>
  <cp:contentStatus/>
</cp:coreProperties>
</file>